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19440" windowHeight="9600" tabRatio="679"/>
  </bookViews>
  <sheets>
    <sheet name="ADMON Y FINANZAS" sheetId="22" r:id="rId1"/>
    <sheet name="DES ACC Y Y EVENT DEP" sheetId="21" r:id="rId2"/>
    <sheet name="OLIMP Y PARALIMP" sheetId="23" r:id="rId3"/>
    <sheet name="ADAPTADO" sheetId="26" r:id="rId4"/>
    <sheet name="FEDERADO " sheetId="24" r:id="rId5"/>
    <sheet name="CAPACITACION14" sheetId="6" r:id="rId6"/>
    <sheet name="SELECTIVO" sheetId="25" r:id="rId7"/>
    <sheet name="COLIMA SANO" sheetId="11" state="hidden" r:id="rId8"/>
  </sheets>
  <definedNames>
    <definedName name="_xlnm._FilterDatabase" localSheetId="0" hidden="1">'ADMON Y FINANZAS'!$A$2:$A$67</definedName>
  </definedNames>
  <calcPr calcId="145621"/>
</workbook>
</file>

<file path=xl/calcChain.xml><?xml version="1.0" encoding="utf-8"?>
<calcChain xmlns="http://schemas.openxmlformats.org/spreadsheetml/2006/main">
  <c r="C53" i="22"/>
  <c r="N28"/>
  <c r="M28"/>
  <c r="L28"/>
  <c r="K28"/>
  <c r="J28"/>
  <c r="I28"/>
  <c r="I10" i="25"/>
  <c r="H10"/>
  <c r="G10"/>
  <c r="F10"/>
  <c r="E10"/>
  <c r="D10"/>
  <c r="C28" i="22"/>
  <c r="E5" i="6"/>
  <c r="E6" i="24"/>
  <c r="P8" i="26"/>
  <c r="O8"/>
  <c r="N8"/>
  <c r="M8"/>
  <c r="L8"/>
  <c r="K8"/>
  <c r="J8"/>
  <c r="I8"/>
  <c r="H8"/>
  <c r="G8"/>
  <c r="F8"/>
  <c r="E8"/>
  <c r="F6" i="23"/>
  <c r="I13" i="21"/>
  <c r="N24" i="22"/>
  <c r="M24"/>
  <c r="L24"/>
  <c r="K24"/>
  <c r="J24"/>
  <c r="I24"/>
  <c r="H24"/>
  <c r="G24"/>
  <c r="F24"/>
  <c r="E24"/>
  <c r="D24"/>
  <c r="C24"/>
  <c r="G14" i="23" l="1"/>
  <c r="C30" i="22"/>
  <c r="O52"/>
  <c r="O32"/>
  <c r="M39"/>
  <c r="K39"/>
  <c r="I39"/>
  <c r="G39"/>
  <c r="E39"/>
  <c r="C39"/>
  <c r="L37"/>
  <c r="I37"/>
  <c r="F37"/>
  <c r="C37"/>
  <c r="D31"/>
  <c r="E31"/>
  <c r="F31"/>
  <c r="G31"/>
  <c r="H31"/>
  <c r="I31"/>
  <c r="J31"/>
  <c r="K31"/>
  <c r="L31"/>
  <c r="M31"/>
  <c r="N31"/>
  <c r="C31"/>
  <c r="D30"/>
  <c r="E30"/>
  <c r="F30"/>
  <c r="G30"/>
  <c r="H30"/>
  <c r="I30"/>
  <c r="J30"/>
  <c r="K30"/>
  <c r="L30"/>
  <c r="M30"/>
  <c r="N30"/>
  <c r="N29"/>
  <c r="K29"/>
  <c r="L29"/>
  <c r="M29"/>
  <c r="J29"/>
  <c r="D29"/>
  <c r="E29"/>
  <c r="F29"/>
  <c r="G29"/>
  <c r="H29"/>
  <c r="I29"/>
  <c r="C29"/>
  <c r="D27"/>
  <c r="E27"/>
  <c r="F27"/>
  <c r="G27"/>
  <c r="H27"/>
  <c r="I27"/>
  <c r="J27"/>
  <c r="K27"/>
  <c r="L27"/>
  <c r="M27"/>
  <c r="C27"/>
  <c r="J23"/>
  <c r="K23"/>
  <c r="L23"/>
  <c r="M23"/>
  <c r="N23"/>
  <c r="D23"/>
  <c r="E23"/>
  <c r="F23"/>
  <c r="G23"/>
  <c r="H23"/>
  <c r="I23"/>
  <c r="C23"/>
  <c r="J22"/>
  <c r="K22"/>
  <c r="L22"/>
  <c r="M22"/>
  <c r="N22"/>
  <c r="D22"/>
  <c r="E22"/>
  <c r="F22"/>
  <c r="G22"/>
  <c r="H22"/>
  <c r="I22"/>
  <c r="C22"/>
  <c r="O18"/>
  <c r="H17"/>
  <c r="H55" s="1"/>
  <c r="G17"/>
  <c r="M9"/>
  <c r="K9"/>
  <c r="I9"/>
  <c r="G9"/>
  <c r="E9"/>
  <c r="C9"/>
  <c r="O9" s="1"/>
  <c r="N8"/>
  <c r="M8"/>
  <c r="L8"/>
  <c r="K8"/>
  <c r="J8"/>
  <c r="I8"/>
  <c r="H8"/>
  <c r="G8"/>
  <c r="F8"/>
  <c r="E8"/>
  <c r="D8"/>
  <c r="C8"/>
  <c r="P8" i="25"/>
  <c r="P5"/>
  <c r="O53" i="22"/>
  <c r="O50"/>
  <c r="O49"/>
  <c r="O48"/>
  <c r="O46"/>
  <c r="O45"/>
  <c r="O44"/>
  <c r="O38"/>
  <c r="O36"/>
  <c r="O34"/>
  <c r="O33"/>
  <c r="O30"/>
  <c r="O26"/>
  <c r="O25"/>
  <c r="O24"/>
  <c r="O22"/>
  <c r="O19"/>
  <c r="O16"/>
  <c r="O13"/>
  <c r="O12"/>
  <c r="O11"/>
  <c r="O10"/>
  <c r="N41"/>
  <c r="M41"/>
  <c r="L41"/>
  <c r="K41"/>
  <c r="J41"/>
  <c r="I41"/>
  <c r="H41"/>
  <c r="G41"/>
  <c r="F41"/>
  <c r="E41"/>
  <c r="D41"/>
  <c r="C41"/>
  <c r="O43"/>
  <c r="M40"/>
  <c r="G40"/>
  <c r="E40"/>
  <c r="D51"/>
  <c r="O47"/>
  <c r="H28"/>
  <c r="G28"/>
  <c r="F28"/>
  <c r="E28"/>
  <c r="D28"/>
  <c r="N27"/>
  <c r="O10" i="24"/>
  <c r="N10"/>
  <c r="M10"/>
  <c r="L10"/>
  <c r="K10"/>
  <c r="J10"/>
  <c r="I10"/>
  <c r="H10"/>
  <c r="G10"/>
  <c r="F10"/>
  <c r="E10"/>
  <c r="D10"/>
  <c r="P9"/>
  <c r="P8"/>
  <c r="P7"/>
  <c r="P6"/>
  <c r="P4"/>
  <c r="P13" i="23"/>
  <c r="P12"/>
  <c r="P9"/>
  <c r="G20"/>
  <c r="F23"/>
  <c r="E23"/>
  <c r="P10"/>
  <c r="P8"/>
  <c r="P7"/>
  <c r="P6"/>
  <c r="Q10" i="26"/>
  <c r="Q5"/>
  <c r="Q4"/>
  <c r="L11"/>
  <c r="G17"/>
  <c r="G19"/>
  <c r="K6"/>
  <c r="K11" s="1"/>
  <c r="E35"/>
  <c r="F11"/>
  <c r="D28"/>
  <c r="D29" s="1"/>
  <c r="D23"/>
  <c r="D24" s="1"/>
  <c r="D25" s="1"/>
  <c r="D20"/>
  <c r="D21" s="1"/>
  <c r="D13"/>
  <c r="I61"/>
  <c r="J61" s="1"/>
  <c r="K61" s="1"/>
  <c r="J60"/>
  <c r="K60" s="1"/>
  <c r="K59"/>
  <c r="G52"/>
  <c r="K50"/>
  <c r="G51" s="1"/>
  <c r="I52"/>
  <c r="J52"/>
  <c r="K52" s="1"/>
  <c r="J51"/>
  <c r="K51" s="1"/>
  <c r="J11"/>
  <c r="G24"/>
  <c r="G25" s="1"/>
  <c r="D16"/>
  <c r="D17"/>
  <c r="P11"/>
  <c r="O11"/>
  <c r="N11"/>
  <c r="M11"/>
  <c r="I11"/>
  <c r="H11"/>
  <c r="G11"/>
  <c r="Q8"/>
  <c r="N25"/>
  <c r="E18"/>
  <c r="E19" s="1"/>
  <c r="J40"/>
  <c r="K40" s="1"/>
  <c r="K39"/>
  <c r="J41"/>
  <c r="K41" s="1"/>
  <c r="K31"/>
  <c r="M31" s="1"/>
  <c r="K14"/>
  <c r="M14"/>
  <c r="I33"/>
  <c r="J33" s="1"/>
  <c r="J32"/>
  <c r="K32" s="1"/>
  <c r="K34" s="1"/>
  <c r="K22"/>
  <c r="I24"/>
  <c r="J24"/>
  <c r="J23"/>
  <c r="K23" s="1"/>
  <c r="I16"/>
  <c r="J16" s="1"/>
  <c r="J15"/>
  <c r="K15"/>
  <c r="K17" s="1"/>
  <c r="K18" s="1"/>
  <c r="Q12" i="6"/>
  <c r="Q10"/>
  <c r="Q11"/>
  <c r="H13"/>
  <c r="M13"/>
  <c r="I13"/>
  <c r="Q5"/>
  <c r="Q14" i="21"/>
  <c r="Q13"/>
  <c r="Q12"/>
  <c r="Q11"/>
  <c r="Q10"/>
  <c r="Q9"/>
  <c r="Q8"/>
  <c r="P17"/>
  <c r="N17"/>
  <c r="M17"/>
  <c r="L17"/>
  <c r="K17"/>
  <c r="J17"/>
  <c r="I17"/>
  <c r="H17"/>
  <c r="G17"/>
  <c r="F17"/>
  <c r="E17"/>
  <c r="P6" i="25"/>
  <c r="M11"/>
  <c r="K11"/>
  <c r="D11"/>
  <c r="O11"/>
  <c r="F11"/>
  <c r="P9"/>
  <c r="E11"/>
  <c r="P5" i="11"/>
  <c r="P6"/>
  <c r="P7"/>
  <c r="P8"/>
  <c r="P9"/>
  <c r="P10"/>
  <c r="P11"/>
  <c r="O12"/>
  <c r="N12"/>
  <c r="M12"/>
  <c r="L12"/>
  <c r="K12"/>
  <c r="J12"/>
  <c r="I12"/>
  <c r="H12"/>
  <c r="G12"/>
  <c r="F12"/>
  <c r="E12"/>
  <c r="O17" i="21"/>
  <c r="O14" i="23"/>
  <c r="N14"/>
  <c r="M14"/>
  <c r="L14"/>
  <c r="K14"/>
  <c r="J14"/>
  <c r="I14"/>
  <c r="F14"/>
  <c r="E14"/>
  <c r="D14"/>
  <c r="D12" i="11"/>
  <c r="D4" i="22"/>
  <c r="E4"/>
  <c r="P4" i="23"/>
  <c r="P5"/>
  <c r="P11"/>
  <c r="P5" i="24"/>
  <c r="P4" i="11"/>
  <c r="P4" i="25"/>
  <c r="P3" i="24"/>
  <c r="P3" i="23"/>
  <c r="C4" i="22"/>
  <c r="Q4" i="6"/>
  <c r="J13"/>
  <c r="N13"/>
  <c r="P13"/>
  <c r="G13"/>
  <c r="K13"/>
  <c r="O13"/>
  <c r="L13"/>
  <c r="Q9"/>
  <c r="F13"/>
  <c r="Q8"/>
  <c r="Q7"/>
  <c r="Q6"/>
  <c r="E13"/>
  <c r="Q9" i="26"/>
  <c r="Q7"/>
  <c r="E11"/>
  <c r="Q15" i="21"/>
  <c r="F5" i="22"/>
  <c r="F6" s="1"/>
  <c r="I11" i="25"/>
  <c r="G11"/>
  <c r="J11"/>
  <c r="H11"/>
  <c r="L11"/>
  <c r="P10"/>
  <c r="P12" i="11" l="1"/>
  <c r="K42" i="26"/>
  <c r="K53"/>
  <c r="K54" s="1"/>
  <c r="G53" s="1"/>
  <c r="G54" s="1"/>
  <c r="K62"/>
  <c r="K63" s="1"/>
  <c r="Q6"/>
  <c r="O37" i="22"/>
  <c r="O39"/>
  <c r="P7" i="25"/>
  <c r="P11" s="1"/>
  <c r="H1" s="1"/>
  <c r="N11"/>
  <c r="Q13" i="6"/>
  <c r="I1" s="1"/>
  <c r="Q11" i="26"/>
  <c r="H14" i="23"/>
  <c r="P10" i="24"/>
  <c r="Q17" i="21"/>
  <c r="K25" i="26"/>
  <c r="K26" s="1"/>
  <c r="J55" i="22"/>
  <c r="M5"/>
  <c r="M6" s="1"/>
  <c r="I5"/>
  <c r="I6" s="1"/>
  <c r="O31"/>
  <c r="O4"/>
  <c r="O17"/>
  <c r="P14" i="23"/>
  <c r="O28" i="22"/>
  <c r="O14"/>
  <c r="J5"/>
  <c r="J6" s="1"/>
  <c r="O41"/>
  <c r="O35"/>
  <c r="F55"/>
  <c r="L55"/>
  <c r="O15"/>
  <c r="M55"/>
  <c r="O20"/>
  <c r="C55"/>
  <c r="O29"/>
  <c r="O54"/>
  <c r="O51"/>
  <c r="O40"/>
  <c r="O42"/>
  <c r="D5"/>
  <c r="D6" s="1"/>
  <c r="H5"/>
  <c r="H6" s="1"/>
  <c r="E5"/>
  <c r="E6" s="1"/>
  <c r="E55"/>
  <c r="D55"/>
  <c r="G55"/>
  <c r="I55"/>
  <c r="K5"/>
  <c r="K6" s="1"/>
  <c r="L5"/>
  <c r="L6" s="1"/>
  <c r="O21"/>
  <c r="O23"/>
  <c r="O27"/>
  <c r="C5"/>
  <c r="C6" s="1"/>
  <c r="N5"/>
  <c r="N6" s="1"/>
  <c r="N55"/>
  <c r="G5"/>
  <c r="G6" s="1"/>
  <c r="O8"/>
  <c r="K55"/>
  <c r="K47" i="26" l="1"/>
  <c r="H1" i="24"/>
  <c r="I1" i="26"/>
  <c r="H1" i="23"/>
  <c r="I1" i="21"/>
  <c r="O55" i="22"/>
  <c r="O5"/>
  <c r="O6" s="1"/>
  <c r="P16" i="23" l="1"/>
</calcChain>
</file>

<file path=xl/sharedStrings.xml><?xml version="1.0" encoding="utf-8"?>
<sst xmlns="http://schemas.openxmlformats.org/spreadsheetml/2006/main" count="270" uniqueCount="118">
  <si>
    <t>PROGRAMA:</t>
  </si>
  <si>
    <t>CANT.AUTORIZADA POR MES</t>
  </si>
  <si>
    <t>CANT.EJERCIDA POR MES</t>
  </si>
  <si>
    <t>CANT. A EJERCERSE POR MES</t>
  </si>
  <si>
    <t>PARTIDA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</si>
  <si>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</si>
  <si>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</si>
  <si>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</si>
  <si>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</si>
  <si>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</si>
  <si>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</si>
  <si>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</si>
  <si>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</si>
  <si>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</si>
  <si>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</si>
  <si>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</si>
  <si>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</si>
  <si>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</si>
  <si>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UNIFORMES DEPORTIVOS</t>
  </si>
  <si>
    <t>ARRENDAMIENTO TRANSPORTE</t>
  </si>
  <si>
    <t>OTROS SUBSIDIOS</t>
  </si>
  <si>
    <t>TRANSPORTE AEREO</t>
  </si>
  <si>
    <t>OLIMPIADA Y PARALIMPIADA</t>
  </si>
  <si>
    <t>OTROS ARRENDAMIENTOS(FOTOFINISH,SONIDO,TOLDOS, SILLAS, TABLONES)</t>
  </si>
  <si>
    <t>ARTICULOS DEPORTIVOS</t>
  </si>
  <si>
    <t>OTROS ARRENDAMIENTOS</t>
  </si>
  <si>
    <t>ARRENDAMIENTO DE EQUIPO DE TRANSPORTE (CAMIONETAS, AUTOBUSES)</t>
  </si>
  <si>
    <t>SERVICIOS DE TRASLADOS Y VIÁTICOS</t>
  </si>
  <si>
    <t>PUBLICIDAD E IMPRESIONES OFICIALES</t>
  </si>
  <si>
    <t>GASTOS COMPLEMENTARIOS</t>
  </si>
  <si>
    <t>BECAS Y OTRAS AYUDAS PARA PROGRAMAS DE CAPACITACION</t>
  </si>
  <si>
    <t>COLIMA SANO</t>
  </si>
  <si>
    <t>BECA</t>
  </si>
  <si>
    <t>IMPRESIONES</t>
  </si>
  <si>
    <t>ARTICULOS DEP.</t>
  </si>
  <si>
    <t>UNIFORMES DEP.</t>
  </si>
  <si>
    <t>TOTALES</t>
  </si>
  <si>
    <t>Otros materiales y artículos de construcción y reparación</t>
  </si>
  <si>
    <t>Materiales, útiles y equipos menores de oficina</t>
  </si>
  <si>
    <t>Materiales sanitario y de limpieza</t>
  </si>
  <si>
    <t>Alimentación de personas en actividades extraordinarias</t>
  </si>
  <si>
    <t>Gastos menores de alimentos</t>
  </si>
  <si>
    <t>Plaguicidas, abonos, fertilizantes y otros agroquímicos</t>
  </si>
  <si>
    <t>Medicinas y productos farmacéuticos</t>
  </si>
  <si>
    <t>Combustibles, lubricantes y aditivos</t>
  </si>
  <si>
    <t>Uniformes deportivos</t>
  </si>
  <si>
    <t>Artículos deportivos</t>
  </si>
  <si>
    <t>Refacciones y accesorios menores de mobiliario y equipo de administración, educacional y recreativo</t>
  </si>
  <si>
    <t>Refacciones y accesorios menores de equipo de cómputo y tecnologías de la información</t>
  </si>
  <si>
    <t>Vestuario y uniformes oficiales</t>
  </si>
  <si>
    <t>Refacciones y accesorios menores de equipo de transporte</t>
  </si>
  <si>
    <t>Servicio de Energia Electrica</t>
  </si>
  <si>
    <t>Servicio de agua potable, drenaje y alcantarillado</t>
  </si>
  <si>
    <t>Telefonía tradicional</t>
  </si>
  <si>
    <t>Servicios de mensajería y paquetería</t>
  </si>
  <si>
    <t>Arrendamiento de edificios y locales</t>
  </si>
  <si>
    <t>Arrendamiento de equipo de transporte</t>
  </si>
  <si>
    <t>Otros arrendamientos</t>
  </si>
  <si>
    <t>Seguros y fianzas</t>
  </si>
  <si>
    <t>Intereses y comisiones bancarios</t>
  </si>
  <si>
    <t>Conservación y mantenimiento menor de inmuebles</t>
  </si>
  <si>
    <t>Instalación, reparación y mantenimiento de mobiliario y equipo de administración, educacional y recreativo</t>
  </si>
  <si>
    <t>Servicios de jardinería y fumigación</t>
  </si>
  <si>
    <t>Gastos de difusión e información</t>
  </si>
  <si>
    <t>Publicaciones e impresiones oficiales</t>
  </si>
  <si>
    <t>Viaticos Nacionales</t>
  </si>
  <si>
    <t>Transporte Aereo</t>
  </si>
  <si>
    <t>Pasajes Terrestres</t>
  </si>
  <si>
    <t>Otros Servicios de Traslado y Hospedaje</t>
  </si>
  <si>
    <t>Gastos de Orden Social</t>
  </si>
  <si>
    <t>Servicios de Defuncion y Gastos funerales</t>
  </si>
  <si>
    <t>Nomina</t>
  </si>
  <si>
    <t>Honorarios</t>
  </si>
  <si>
    <t>Impuestos y Derechos</t>
  </si>
  <si>
    <t>Gastos Complementarios Serv. Grales.</t>
  </si>
  <si>
    <t>GASTOS NOTARIALES</t>
  </si>
  <si>
    <t>PASAJES TERRESTRES</t>
  </si>
  <si>
    <t>VIATICOS NACIONALES</t>
  </si>
  <si>
    <t>BECAS PROMOTORES MUEVTE COLIMA</t>
  </si>
  <si>
    <t>DESARROLLAR LAS ACCIONES Y EVENTOS DEPORTIVOS DE ACTIVACION FISICA Y RECREATIVA DEL PROGRAMA MUEVETE COLIMA</t>
  </si>
  <si>
    <t>DEPORTE SOCIAL, MUEVTE COLIMA, TORNEOS Y LIGAS DEPORTIVAS,</t>
  </si>
  <si>
    <t>PROGRAMA DE FORMACION DE DEPORTISTAS DE ALTO RENDIMIENTO ( SELECTIVO)</t>
  </si>
  <si>
    <t>NORMATIVIDAD DE ASOCIACIONES DEPORTIVAS (FEDERADO)</t>
  </si>
  <si>
    <t>ACCIONES EMPRENDIDAS PARA UN DESEMPEÑO DE FUNCIONES EFICIENTES</t>
  </si>
  <si>
    <t>PROGRAMA ESTATAL DE CAPACITACIÓN</t>
  </si>
  <si>
    <t xml:space="preserve">HONORARIOS </t>
  </si>
  <si>
    <t>IMPUESTOS Y DERECHOS</t>
  </si>
  <si>
    <t>Gastos complementarios para Servicios Generales</t>
  </si>
  <si>
    <t>PASAJES</t>
  </si>
  <si>
    <t>HOSPEDAJE</t>
  </si>
  <si>
    <t>ALIMENTOS</t>
  </si>
  <si>
    <t>VIATICOS CD. DE MEXICO</t>
  </si>
  <si>
    <t>VIATICOS TIJUANA</t>
  </si>
  <si>
    <t>EVENTOS 5</t>
  </si>
  <si>
    <t>VIATICOS MERIDA</t>
  </si>
  <si>
    <t>POR DIA</t>
  </si>
  <si>
    <t>3 HABITACIONES</t>
  </si>
  <si>
    <t>2 EVENTOS</t>
  </si>
  <si>
    <t>1 EVENTO</t>
  </si>
  <si>
    <t>VIATICOS BRASIL</t>
  </si>
  <si>
    <t>ESPECIALES</t>
  </si>
  <si>
    <t>VIATICOS CD. DE VERACRUZ</t>
  </si>
  <si>
    <t>PROGRAMA DE ACTIVACION FISICA PARA EL DEPORTE ADAPTADO</t>
  </si>
  <si>
    <t>PASAJES TERRESTRE</t>
  </si>
  <si>
    <t>REG</t>
  </si>
  <si>
    <t>FOGUE</t>
  </si>
  <si>
    <t>OLIMPIADA</t>
  </si>
  <si>
    <t>PREMIOS (ESTIMULOS)</t>
  </si>
  <si>
    <t>HONORARIOS A PROFESIONISTAS</t>
  </si>
  <si>
    <t>Herramientas y Maquinas-Herramientas</t>
  </si>
  <si>
    <t>Mobiliario y Equipo de Oficina</t>
  </si>
  <si>
    <t>Equipo de Computo</t>
  </si>
  <si>
    <t xml:space="preserve">Otros Mobiliarios y Equipos de Administración </t>
  </si>
  <si>
    <t>Camaras Fotograficas y de Video</t>
  </si>
  <si>
    <t>Vehiculos y Equipo de Terrestre</t>
  </si>
  <si>
    <t>Sistemas de Aire Acondicionado</t>
  </si>
  <si>
    <t>Reparación y mantenimiento de mobiliario y equipo de Transporte</t>
  </si>
  <si>
    <t>Servicios de vigilancia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</si>
</sst>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\ _€_-;\-* #,##0\ _€_-;_-* &quot;-&quot;??\ _€_-;_-@_-"/>
    <numFmt numFmtId="167" formatCode="_-[$$-80A]* #,##0.00_-;\-[$$-80A]* #,##0.00_-;_-[$$-80A]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Bodoni MT"/>
      <family val="1"/>
    </font>
    <font>
      <b/>
      <sz val="8"/>
      <color theme="1"/>
      <name val="Bodoni M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1" xfId="0" applyBorder="1"/>
    <xf numFmtId="43" fontId="3" fillId="0" borderId="1" xfId="0" applyNumberFormat="1" applyFont="1" applyBorder="1"/>
    <xf numFmtId="43" fontId="3" fillId="2" borderId="1" xfId="0" applyNumberFormat="1" applyFont="1" applyFill="1" applyBorder="1"/>
    <xf numFmtId="43" fontId="3" fillId="2" borderId="2" xfId="0" applyNumberFormat="1" applyFont="1" applyFill="1" applyBorder="1"/>
    <xf numFmtId="0" fontId="0" fillId="2" borderId="0" xfId="0" applyFill="1"/>
    <xf numFmtId="0" fontId="4" fillId="0" borderId="3" xfId="0" applyFont="1" applyBorder="1"/>
    <xf numFmtId="0" fontId="3" fillId="2" borderId="1" xfId="0" applyFont="1" applyFill="1" applyBorder="1"/>
    <xf numFmtId="43" fontId="5" fillId="3" borderId="1" xfId="0" applyNumberFormat="1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3" fontId="3" fillId="2" borderId="6" xfId="0" applyNumberFormat="1" applyFont="1" applyFill="1" applyBorder="1"/>
    <xf numFmtId="0" fontId="4" fillId="4" borderId="3" xfId="0" applyFont="1" applyFill="1" applyBorder="1"/>
    <xf numFmtId="0" fontId="5" fillId="2" borderId="7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3" fontId="6" fillId="0" borderId="3" xfId="0" applyNumberFormat="1" applyFont="1" applyBorder="1"/>
    <xf numFmtId="43" fontId="3" fillId="2" borderId="1" xfId="0" applyNumberFormat="1" applyFont="1" applyFill="1" applyBorder="1" applyAlignment="1">
      <alignment horizontal="center"/>
    </xf>
    <xf numFmtId="43" fontId="3" fillId="2" borderId="0" xfId="0" applyNumberFormat="1" applyFont="1" applyFill="1"/>
    <xf numFmtId="0" fontId="5" fillId="2" borderId="8" xfId="0" applyFont="1" applyFill="1" applyBorder="1"/>
    <xf numFmtId="166" fontId="5" fillId="2" borderId="2" xfId="0" applyNumberFormat="1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165" fontId="3" fillId="2" borderId="1" xfId="0" quotePrefix="1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/>
    <xf numFmtId="0" fontId="2" fillId="0" borderId="0" xfId="0" applyFont="1"/>
    <xf numFmtId="43" fontId="5" fillId="5" borderId="1" xfId="0" applyNumberFormat="1" applyFont="1" applyFill="1" applyBorder="1"/>
    <xf numFmtId="43" fontId="5" fillId="0" borderId="1" xfId="0" applyNumberFormat="1" applyFont="1" applyBorder="1"/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Fill="1"/>
    <xf numFmtId="0" fontId="8" fillId="0" borderId="0" xfId="0" applyFont="1"/>
    <xf numFmtId="0" fontId="5" fillId="0" borderId="0" xfId="0" applyFont="1"/>
    <xf numFmtId="165" fontId="2" fillId="0" borderId="0" xfId="0" applyNumberFormat="1" applyFont="1"/>
    <xf numFmtId="43" fontId="5" fillId="3" borderId="2" xfId="0" applyNumberFormat="1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vertical="center"/>
    </xf>
    <xf numFmtId="43" fontId="3" fillId="2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3" fontId="3" fillId="0" borderId="1" xfId="0" applyNumberFormat="1" applyFont="1" applyFill="1" applyBorder="1"/>
    <xf numFmtId="164" fontId="3" fillId="0" borderId="1" xfId="0" applyNumberFormat="1" applyFont="1" applyFill="1" applyBorder="1"/>
    <xf numFmtId="0" fontId="0" fillId="0" borderId="0" xfId="0" applyFill="1"/>
    <xf numFmtId="164" fontId="5" fillId="0" borderId="1" xfId="0" applyNumberFormat="1" applyFont="1" applyFill="1" applyBorder="1" applyAlignment="1"/>
    <xf numFmtId="43" fontId="3" fillId="0" borderId="6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67" fontId="3" fillId="2" borderId="2" xfId="0" applyNumberFormat="1" applyFont="1" applyFill="1" applyBorder="1"/>
    <xf numFmtId="164" fontId="3" fillId="2" borderId="2" xfId="2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9" fillId="6" borderId="5" xfId="0" applyFont="1" applyFill="1" applyBorder="1"/>
    <xf numFmtId="0" fontId="4" fillId="4" borderId="3" xfId="0" applyFont="1" applyFill="1" applyBorder="1" applyAlignment="1">
      <alignment horizontal="center"/>
    </xf>
    <xf numFmtId="43" fontId="3" fillId="4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43" fontId="3" fillId="4" borderId="3" xfId="0" applyNumberFormat="1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2" fillId="4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43" fontId="4" fillId="0" borderId="0" xfId="0" applyNumberFormat="1" applyFont="1" applyFill="1" applyBorder="1"/>
    <xf numFmtId="43" fontId="4" fillId="6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5" fontId="1" fillId="0" borderId="0" xfId="1" applyFont="1" applyFill="1" applyBorder="1"/>
    <xf numFmtId="0" fontId="5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165" fontId="10" fillId="0" borderId="14" xfId="0" applyNumberFormat="1" applyFont="1" applyFill="1" applyBorder="1"/>
    <xf numFmtId="165" fontId="11" fillId="0" borderId="14" xfId="0" applyNumberFormat="1" applyFont="1" applyFill="1" applyBorder="1"/>
    <xf numFmtId="165" fontId="11" fillId="0" borderId="1" xfId="0" applyNumberFormat="1" applyFont="1" applyFill="1" applyBorder="1"/>
    <xf numFmtId="165" fontId="11" fillId="0" borderId="2" xfId="0" applyNumberFormat="1" applyFont="1" applyFill="1" applyBorder="1"/>
    <xf numFmtId="165" fontId="11" fillId="0" borderId="13" xfId="0" applyNumberFormat="1" applyFont="1" applyFill="1" applyBorder="1"/>
    <xf numFmtId="165" fontId="11" fillId="0" borderId="4" xfId="0" applyNumberFormat="1" applyFont="1" applyFill="1" applyBorder="1"/>
    <xf numFmtId="165" fontId="10" fillId="0" borderId="1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165" fontId="1" fillId="0" borderId="5" xfId="1" applyFont="1" applyBorder="1"/>
    <xf numFmtId="165" fontId="1" fillId="0" borderId="18" xfId="1" applyFont="1" applyBorder="1"/>
    <xf numFmtId="165" fontId="1" fillId="0" borderId="19" xfId="1" applyFont="1" applyBorder="1"/>
    <xf numFmtId="165" fontId="1" fillId="0" borderId="0" xfId="1" applyFont="1" applyBorder="1"/>
    <xf numFmtId="165" fontId="1" fillId="0" borderId="12" xfId="1" applyFont="1" applyBorder="1"/>
    <xf numFmtId="165" fontId="1" fillId="0" borderId="17" xfId="1" applyFont="1" applyBorder="1"/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5" fontId="13" fillId="0" borderId="1" xfId="1" applyFont="1" applyFill="1" applyBorder="1" applyAlignment="1">
      <alignment vertical="center"/>
    </xf>
    <xf numFmtId="165" fontId="1" fillId="0" borderId="0" xfId="1" applyFont="1"/>
    <xf numFmtId="165" fontId="3" fillId="2" borderId="1" xfId="0" applyNumberFormat="1" applyFont="1" applyFill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165" fontId="1" fillId="0" borderId="1" xfId="1" applyFont="1" applyFill="1" applyBorder="1" applyAlignment="1">
      <alignment vertical="center"/>
    </xf>
    <xf numFmtId="0" fontId="4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5" fontId="3" fillId="0" borderId="16" xfId="1" applyFont="1" applyFill="1" applyBorder="1" applyAlignment="1">
      <alignment horizontal="center"/>
    </xf>
    <xf numFmtId="165" fontId="3" fillId="2" borderId="1" xfId="1" applyFont="1" applyFill="1" applyBorder="1"/>
    <xf numFmtId="164" fontId="0" fillId="0" borderId="1" xfId="0" applyNumberFormat="1" applyFill="1" applyBorder="1" applyAlignment="1">
      <alignment vertical="center"/>
    </xf>
    <xf numFmtId="43" fontId="14" fillId="0" borderId="4" xfId="0" applyNumberFormat="1" applyFont="1" applyFill="1" applyBorder="1" applyAlignment="1">
      <alignment vertical="center"/>
    </xf>
    <xf numFmtId="0" fontId="3" fillId="4" borderId="15" xfId="0" applyFont="1" applyFill="1" applyBorder="1"/>
    <xf numFmtId="0" fontId="0" fillId="0" borderId="0" xfId="0" applyBorder="1"/>
    <xf numFmtId="0" fontId="0" fillId="2" borderId="0" xfId="0" applyFill="1" applyBorder="1"/>
    <xf numFmtId="165" fontId="1" fillId="0" borderId="0" xfId="1" applyFont="1"/>
    <xf numFmtId="165" fontId="10" fillId="0" borderId="1" xfId="1" applyFont="1" applyFill="1" applyBorder="1"/>
    <xf numFmtId="165" fontId="7" fillId="0" borderId="0" xfId="1" applyFont="1"/>
    <xf numFmtId="165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0" fillId="0" borderId="0" xfId="1" applyFont="1"/>
    <xf numFmtId="165" fontId="4" fillId="0" borderId="0" xfId="1" applyFont="1"/>
    <xf numFmtId="0" fontId="2" fillId="4" borderId="1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43" fontId="9" fillId="6" borderId="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Y68"/>
  <sheetViews>
    <sheetView tabSelected="1" showWhiteSpace="0" zoomScaleNormal="100" zoomScaleSheetLayoutView="100" workbookViewId="0">
      <selection activeCell="K63" sqref="K63"/>
    </sheetView>
  </sheetViews>
  <sheetFormatPr baseColWidth="10" defaultRowHeight="15"/>
  <cols>
    <col min="1" max="1" width="10.140625" style="28" customWidth="1"/>
    <col min="2" max="2" width="28.85546875" style="35" customWidth="1"/>
    <col min="3" max="6" width="15.140625" style="28" bestFit="1" customWidth="1"/>
    <col min="7" max="7" width="17.140625" style="28" bestFit="1" customWidth="1"/>
    <col min="8" max="9" width="15.140625" style="28" bestFit="1" customWidth="1"/>
    <col min="10" max="10" width="15" style="28" customWidth="1"/>
    <col min="11" max="14" width="15.140625" style="28" bestFit="1" customWidth="1"/>
    <col min="15" max="15" width="16.28515625" style="28" bestFit="1" customWidth="1"/>
    <col min="16" max="16" width="11.85546875" style="28" bestFit="1" customWidth="1"/>
    <col min="17" max="16384" width="11.42578125" style="28"/>
  </cols>
  <sheetData>
    <row r="2" spans="1:25" ht="21" customHeight="1">
      <c r="A2" s="157" t="s">
        <v>83</v>
      </c>
      <c r="B2" s="158"/>
      <c r="C2" s="158"/>
      <c r="D2" s="158"/>
      <c r="E2" s="158"/>
      <c r="F2" s="159"/>
      <c r="G2" s="74">
        <v>35838453.18</v>
      </c>
      <c r="I2" s="39"/>
      <c r="J2" s="39"/>
    </row>
    <row r="3" spans="1:25" ht="6.75" customHeight="1">
      <c r="A3" s="162"/>
      <c r="B3" s="162"/>
      <c r="C3" s="38"/>
      <c r="D3" s="40"/>
      <c r="E3" s="40"/>
      <c r="F3" s="38"/>
      <c r="G3" s="38"/>
      <c r="I3" s="39"/>
      <c r="J3" s="39"/>
    </row>
    <row r="4" spans="1:25" hidden="1">
      <c r="A4" s="163" t="s">
        <v>1</v>
      </c>
      <c r="B4" s="164"/>
      <c r="C4" s="37">
        <f>3541342</f>
        <v>3541342</v>
      </c>
      <c r="D4" s="37">
        <f>2228846</f>
        <v>2228846</v>
      </c>
      <c r="E4" s="37">
        <f>3197936.79</f>
        <v>3197936.79</v>
      </c>
      <c r="F4" s="37">
        <v>2895188</v>
      </c>
      <c r="G4" s="37">
        <v>2895188</v>
      </c>
      <c r="H4" s="8">
        <v>2895188</v>
      </c>
      <c r="I4" s="37">
        <v>2895188</v>
      </c>
      <c r="J4" s="37">
        <v>2895188</v>
      </c>
      <c r="K4" s="8">
        <v>2895188</v>
      </c>
      <c r="L4" s="8">
        <v>2895188</v>
      </c>
      <c r="M4" s="8">
        <v>2895188</v>
      </c>
      <c r="N4" s="8">
        <v>3708824.39</v>
      </c>
      <c r="O4" s="29">
        <f>SUM(C4:N4)</f>
        <v>35838453.18</v>
      </c>
    </row>
    <row r="5" spans="1:25" hidden="1">
      <c r="A5" s="165" t="s">
        <v>2</v>
      </c>
      <c r="B5" s="166"/>
      <c r="C5" s="8">
        <f t="shared" ref="C5:N5" si="0">SUM(C8:C54)</f>
        <v>3943774.25</v>
      </c>
      <c r="D5" s="8">
        <f t="shared" si="0"/>
        <v>2689998.52</v>
      </c>
      <c r="E5" s="8">
        <f t="shared" si="0"/>
        <v>2937747.16</v>
      </c>
      <c r="F5" s="8">
        <f t="shared" si="0"/>
        <v>2780215.59</v>
      </c>
      <c r="G5" s="8">
        <f t="shared" si="0"/>
        <v>2803847.2600000002</v>
      </c>
      <c r="H5" s="8">
        <f t="shared" si="0"/>
        <v>2548447.42</v>
      </c>
      <c r="I5" s="8">
        <f t="shared" si="0"/>
        <v>2795086.02</v>
      </c>
      <c r="J5" s="8">
        <f t="shared" si="0"/>
        <v>2443465.5299999998</v>
      </c>
      <c r="K5" s="8">
        <f t="shared" si="0"/>
        <v>3353668.29</v>
      </c>
      <c r="L5" s="8">
        <f t="shared" si="0"/>
        <v>2527946.94</v>
      </c>
      <c r="M5" s="8">
        <f t="shared" si="0"/>
        <v>2607333.65</v>
      </c>
      <c r="N5" s="8">
        <f t="shared" si="0"/>
        <v>4327769.370000001</v>
      </c>
      <c r="O5" s="8">
        <f>SUM(C5:N5)</f>
        <v>35759300</v>
      </c>
    </row>
    <row r="6" spans="1:25" hidden="1">
      <c r="A6" s="165" t="s">
        <v>3</v>
      </c>
      <c r="B6" s="166"/>
      <c r="C6" s="8">
        <f>(C4-C5)</f>
        <v>-402432.25</v>
      </c>
      <c r="D6" s="8">
        <f t="shared" ref="D6:N6" si="1">(D4-D5)</f>
        <v>-461152.52</v>
      </c>
      <c r="E6" s="8">
        <f t="shared" si="1"/>
        <v>260189.62999999989</v>
      </c>
      <c r="F6" s="8">
        <f t="shared" si="1"/>
        <v>114972.41000000015</v>
      </c>
      <c r="G6" s="8">
        <f t="shared" si="1"/>
        <v>91340.739999999758</v>
      </c>
      <c r="H6" s="8">
        <f t="shared" si="1"/>
        <v>346740.58000000007</v>
      </c>
      <c r="I6" s="8">
        <f t="shared" si="1"/>
        <v>100101.97999999998</v>
      </c>
      <c r="J6" s="8">
        <f t="shared" si="1"/>
        <v>451722.4700000002</v>
      </c>
      <c r="K6" s="8">
        <f t="shared" si="1"/>
        <v>-458480.29000000004</v>
      </c>
      <c r="L6" s="8">
        <f t="shared" si="1"/>
        <v>367241.06000000006</v>
      </c>
      <c r="M6" s="8">
        <f t="shared" si="1"/>
        <v>287854.35000000009</v>
      </c>
      <c r="N6" s="8">
        <f t="shared" si="1"/>
        <v>-618944.98000000091</v>
      </c>
      <c r="O6" s="30">
        <f>(O4-O5)</f>
        <v>79153.179999999702</v>
      </c>
    </row>
    <row r="7" spans="1:25" s="41" customFormat="1" ht="27" customHeight="1">
      <c r="A7" s="121" t="s">
        <v>4</v>
      </c>
      <c r="B7" s="70" t="s">
        <v>5</v>
      </c>
      <c r="C7" s="71" t="s">
        <v>6</v>
      </c>
      <c r="D7" s="70" t="s">
        <v>7</v>
      </c>
      <c r="E7" s="70" t="s">
        <v>8</v>
      </c>
      <c r="F7" s="70" t="s">
        <v>9</v>
      </c>
      <c r="G7" s="70" t="s">
        <v>10</v>
      </c>
      <c r="H7" s="70" t="s">
        <v>11</v>
      </c>
      <c r="I7" s="70" t="s">
        <v>12</v>
      </c>
      <c r="J7" s="70" t="s">
        <v>13</v>
      </c>
      <c r="K7" s="70" t="s">
        <v>14</v>
      </c>
      <c r="L7" s="70" t="s">
        <v>15</v>
      </c>
      <c r="M7" s="70" t="s">
        <v>16</v>
      </c>
      <c r="N7" s="72" t="s">
        <v>17</v>
      </c>
      <c r="O7" s="73" t="s">
        <v>36</v>
      </c>
    </row>
    <row r="8" spans="1:25" s="32" customFormat="1" ht="16.5">
      <c r="A8" s="118">
        <v>1000</v>
      </c>
      <c r="B8" s="90" t="s">
        <v>71</v>
      </c>
      <c r="C8" s="97">
        <f>3158302.68+200000+250000+21000+436389.96-523567.43</f>
        <v>3542125.21</v>
      </c>
      <c r="D8" s="97">
        <f>1895709.33+200000+250000+21000+436389.96-523567.43</f>
        <v>2279531.86</v>
      </c>
      <c r="E8" s="97">
        <f>2215457.97+200000+250000+21000+436389.96-523567.43</f>
        <v>2599280.5</v>
      </c>
      <c r="F8" s="97">
        <f>2073926.4+200000+250000+21000+436389.96-523567.43</f>
        <v>2457748.9299999997</v>
      </c>
      <c r="G8" s="97">
        <f>2060058.07+200000+250000+21000+436389.96-523567.43</f>
        <v>2443880.6</v>
      </c>
      <c r="H8" s="97">
        <f>1861658.23+200000+250000+21000+436389.96-523567.43</f>
        <v>2245480.7599999998</v>
      </c>
      <c r="I8" s="97">
        <f>2077796.83+200000+250000+21000+436389.96-523567.43</f>
        <v>2461619.36</v>
      </c>
      <c r="J8" s="97">
        <f>1781176.34+200000+250000+21000+436389.96-523567.43</f>
        <v>2164998.8699999996</v>
      </c>
      <c r="K8" s="97">
        <f>2576379.1+200000+250000+21000+436389.96-523567.43</f>
        <v>2960201.63</v>
      </c>
      <c r="L8" s="97">
        <f>1850657.75+200000+250000+21000+436389.96-523567.43</f>
        <v>2234480.2799999998</v>
      </c>
      <c r="M8" s="97">
        <f>1863044.46+200000+250000+21000+436389.96-523567.43</f>
        <v>2246866.9899999998</v>
      </c>
      <c r="N8" s="97">
        <f>3663080.18+200000+250000+21000+436389.96-523567.43</f>
        <v>4046902.7100000004</v>
      </c>
      <c r="O8" s="95">
        <f>SUM(C8:N8)</f>
        <v>31683117.699999999</v>
      </c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32" customFormat="1" ht="16.5">
      <c r="A9" s="118">
        <v>12102</v>
      </c>
      <c r="B9" s="91" t="s">
        <v>72</v>
      </c>
      <c r="C9" s="96">
        <f t="shared" ref="C9:M9" si="2">12000+5000-12000</f>
        <v>5000</v>
      </c>
      <c r="D9" s="96"/>
      <c r="E9" s="96">
        <f t="shared" si="2"/>
        <v>5000</v>
      </c>
      <c r="F9" s="96"/>
      <c r="G9" s="96">
        <f t="shared" si="2"/>
        <v>5000</v>
      </c>
      <c r="H9" s="96"/>
      <c r="I9" s="96">
        <f t="shared" si="2"/>
        <v>5000</v>
      </c>
      <c r="J9" s="96"/>
      <c r="K9" s="96">
        <f t="shared" si="2"/>
        <v>5000</v>
      </c>
      <c r="L9" s="96"/>
      <c r="M9" s="96">
        <f t="shared" si="2"/>
        <v>5000</v>
      </c>
      <c r="N9" s="96"/>
      <c r="O9" s="95">
        <f t="shared" ref="O9:O54" si="3">SUM(C9:N9)</f>
        <v>30000</v>
      </c>
      <c r="P9" s="33"/>
      <c r="Q9" s="33"/>
      <c r="R9" s="31"/>
      <c r="S9" s="31"/>
      <c r="T9" s="31"/>
      <c r="U9" s="31"/>
      <c r="V9" s="31"/>
      <c r="W9" s="31"/>
      <c r="X9" s="31"/>
      <c r="Y9" s="31"/>
    </row>
    <row r="10" spans="1:25" s="32" customFormat="1" ht="27.75" customHeight="1">
      <c r="A10" s="118">
        <v>21101</v>
      </c>
      <c r="B10" s="92" t="s">
        <v>38</v>
      </c>
      <c r="C10" s="96">
        <v>7300</v>
      </c>
      <c r="D10" s="96">
        <v>7300</v>
      </c>
      <c r="E10" s="96">
        <v>7300</v>
      </c>
      <c r="F10" s="96">
        <v>7300</v>
      </c>
      <c r="G10" s="96">
        <v>7300</v>
      </c>
      <c r="H10" s="96">
        <v>7300</v>
      </c>
      <c r="I10" s="96">
        <v>7300</v>
      </c>
      <c r="J10" s="96">
        <v>7300</v>
      </c>
      <c r="K10" s="96">
        <v>7300</v>
      </c>
      <c r="L10" s="96">
        <v>7300</v>
      </c>
      <c r="M10" s="96">
        <v>7300</v>
      </c>
      <c r="N10" s="96">
        <v>7300</v>
      </c>
      <c r="O10" s="95">
        <f t="shared" si="3"/>
        <v>87600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2" customFormat="1" ht="16.5">
      <c r="A11" s="118">
        <v>21601</v>
      </c>
      <c r="B11" s="92" t="s">
        <v>39</v>
      </c>
      <c r="C11" s="96">
        <v>7200</v>
      </c>
      <c r="D11" s="96">
        <v>7200</v>
      </c>
      <c r="E11" s="96">
        <v>7200</v>
      </c>
      <c r="F11" s="96">
        <v>7200</v>
      </c>
      <c r="G11" s="96">
        <v>7200</v>
      </c>
      <c r="H11" s="96">
        <v>7200</v>
      </c>
      <c r="I11" s="96">
        <v>7200</v>
      </c>
      <c r="J11" s="96">
        <v>7200</v>
      </c>
      <c r="K11" s="96">
        <v>7200</v>
      </c>
      <c r="L11" s="96">
        <v>7200</v>
      </c>
      <c r="M11" s="96">
        <v>7200</v>
      </c>
      <c r="N11" s="96">
        <v>7200</v>
      </c>
      <c r="O11" s="95">
        <f t="shared" si="3"/>
        <v>86400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s="32" customFormat="1" ht="25.5" hidden="1">
      <c r="A12" s="118">
        <v>22105</v>
      </c>
      <c r="B12" s="90" t="s">
        <v>40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5">
        <f t="shared" si="3"/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s="32" customFormat="1" ht="16.5">
      <c r="A13" s="118">
        <v>22106</v>
      </c>
      <c r="B13" s="90" t="s">
        <v>41</v>
      </c>
      <c r="C13" s="96"/>
      <c r="D13" s="96"/>
      <c r="E13" s="96"/>
      <c r="F13" s="96"/>
      <c r="G13" s="96"/>
      <c r="H13" s="98"/>
      <c r="I13" s="97"/>
      <c r="J13" s="97"/>
      <c r="K13" s="97">
        <v>45000</v>
      </c>
      <c r="L13" s="97"/>
      <c r="M13" s="97">
        <v>50000</v>
      </c>
      <c r="N13" s="96"/>
      <c r="O13" s="95">
        <f t="shared" si="3"/>
        <v>95000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s="32" customFormat="1" ht="30.75" customHeight="1">
      <c r="A14" s="119">
        <v>24901</v>
      </c>
      <c r="B14" s="92" t="s">
        <v>37</v>
      </c>
      <c r="C14" s="96">
        <v>5000</v>
      </c>
      <c r="D14" s="96">
        <v>5000</v>
      </c>
      <c r="E14" s="96">
        <v>5000</v>
      </c>
      <c r="F14" s="96">
        <v>5000</v>
      </c>
      <c r="G14" s="96">
        <v>5000</v>
      </c>
      <c r="H14" s="96">
        <v>5000</v>
      </c>
      <c r="I14" s="96">
        <v>5000</v>
      </c>
      <c r="J14" s="96">
        <v>5000</v>
      </c>
      <c r="K14" s="96">
        <v>5000</v>
      </c>
      <c r="L14" s="96">
        <v>5000</v>
      </c>
      <c r="M14" s="96">
        <v>5000</v>
      </c>
      <c r="N14" s="96">
        <v>5000</v>
      </c>
      <c r="O14" s="95">
        <f t="shared" si="3"/>
        <v>60000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s="32" customFormat="1" ht="30.75" customHeight="1">
      <c r="A15" s="119">
        <v>25201</v>
      </c>
      <c r="B15" s="92" t="s">
        <v>42</v>
      </c>
      <c r="C15" s="96">
        <v>8000</v>
      </c>
      <c r="D15" s="96">
        <v>8000</v>
      </c>
      <c r="E15" s="96">
        <v>8000</v>
      </c>
      <c r="F15" s="96">
        <v>8000</v>
      </c>
      <c r="G15" s="96">
        <v>8000</v>
      </c>
      <c r="H15" s="96">
        <v>8000</v>
      </c>
      <c r="I15" s="96">
        <v>8000</v>
      </c>
      <c r="J15" s="96">
        <v>8000</v>
      </c>
      <c r="K15" s="96">
        <v>8000</v>
      </c>
      <c r="L15" s="96">
        <v>8000</v>
      </c>
      <c r="M15" s="96">
        <v>8000</v>
      </c>
      <c r="N15" s="96">
        <v>8000</v>
      </c>
      <c r="O15" s="95">
        <f t="shared" si="3"/>
        <v>96000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32" customFormat="1" ht="34.5" customHeight="1">
      <c r="A16" s="120">
        <v>29601</v>
      </c>
      <c r="B16" s="92" t="s">
        <v>50</v>
      </c>
      <c r="C16" s="100">
        <v>2500</v>
      </c>
      <c r="D16" s="100">
        <v>2500</v>
      </c>
      <c r="E16" s="100">
        <v>2500</v>
      </c>
      <c r="F16" s="100">
        <v>2500</v>
      </c>
      <c r="G16" s="100">
        <v>2500</v>
      </c>
      <c r="H16" s="100">
        <v>2500</v>
      </c>
      <c r="I16" s="100">
        <v>2500</v>
      </c>
      <c r="J16" s="100">
        <v>2500</v>
      </c>
      <c r="K16" s="100">
        <v>2500</v>
      </c>
      <c r="L16" s="100">
        <v>2500</v>
      </c>
      <c r="M16" s="100">
        <v>2500</v>
      </c>
      <c r="N16" s="100">
        <v>2500</v>
      </c>
      <c r="O16" s="95">
        <f t="shared" si="3"/>
        <v>30000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2" customFormat="1" ht="24.75" customHeight="1">
      <c r="A17" s="118">
        <v>25301</v>
      </c>
      <c r="B17" s="92" t="s">
        <v>43</v>
      </c>
      <c r="C17" s="96"/>
      <c r="D17" s="96"/>
      <c r="E17" s="96">
        <v>1000</v>
      </c>
      <c r="F17" s="96">
        <v>2000</v>
      </c>
      <c r="G17" s="96">
        <f>1000+1500</f>
        <v>2500</v>
      </c>
      <c r="H17" s="96">
        <f>1000+1500</f>
        <v>2500</v>
      </c>
      <c r="I17" s="96"/>
      <c r="J17" s="96"/>
      <c r="K17" s="96"/>
      <c r="L17" s="96"/>
      <c r="M17" s="96"/>
      <c r="N17" s="96"/>
      <c r="O17" s="95">
        <f t="shared" si="3"/>
        <v>8000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32" customFormat="1" ht="24.75" customHeight="1">
      <c r="A18" s="118">
        <v>26101</v>
      </c>
      <c r="B18" s="92" t="s">
        <v>44</v>
      </c>
      <c r="C18" s="96">
        <v>20000</v>
      </c>
      <c r="D18" s="96">
        <v>20000</v>
      </c>
      <c r="E18" s="96">
        <v>20000</v>
      </c>
      <c r="F18" s="96">
        <v>20000</v>
      </c>
      <c r="G18" s="96">
        <v>20000</v>
      </c>
      <c r="H18" s="96">
        <v>20000</v>
      </c>
      <c r="I18" s="96">
        <v>20000</v>
      </c>
      <c r="J18" s="96">
        <v>20000</v>
      </c>
      <c r="K18" s="96">
        <v>20000</v>
      </c>
      <c r="L18" s="96">
        <v>20000</v>
      </c>
      <c r="M18" s="96">
        <v>20000</v>
      </c>
      <c r="N18" s="96">
        <v>20000</v>
      </c>
      <c r="O18" s="95">
        <f t="shared" si="3"/>
        <v>240000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s="32" customFormat="1" ht="24.75" customHeight="1">
      <c r="A19" s="118">
        <v>27102</v>
      </c>
      <c r="B19" s="92" t="s">
        <v>49</v>
      </c>
      <c r="C19" s="96"/>
      <c r="D19" s="96"/>
      <c r="E19" s="96"/>
      <c r="F19" s="96"/>
      <c r="G19" s="96"/>
      <c r="H19" s="99"/>
      <c r="I19" s="96"/>
      <c r="J19" s="96"/>
      <c r="K19" s="96"/>
      <c r="L19" s="96"/>
      <c r="M19" s="96"/>
      <c r="N19" s="96"/>
      <c r="O19" s="95">
        <f t="shared" si="3"/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s="32" customFormat="1" ht="16.5">
      <c r="A20" s="118">
        <v>27103</v>
      </c>
      <c r="B20" s="92" t="s">
        <v>45</v>
      </c>
      <c r="C20" s="96">
        <v>20833.330000000002</v>
      </c>
      <c r="D20" s="96">
        <v>20833.330000000002</v>
      </c>
      <c r="E20" s="96">
        <v>20833.330000000002</v>
      </c>
      <c r="F20" s="96">
        <v>20833.330000000002</v>
      </c>
      <c r="G20" s="96">
        <v>20833.330000000002</v>
      </c>
      <c r="H20" s="96">
        <v>20833.330000000002</v>
      </c>
      <c r="I20" s="96">
        <v>20833.330000000002</v>
      </c>
      <c r="J20" s="96">
        <v>20833.330000000002</v>
      </c>
      <c r="K20" s="96">
        <v>20833.330000000002</v>
      </c>
      <c r="L20" s="96">
        <v>20833.330000000002</v>
      </c>
      <c r="M20" s="96">
        <v>20833.330000000002</v>
      </c>
      <c r="N20" s="96">
        <v>20833.330000000002</v>
      </c>
      <c r="O20" s="95">
        <f t="shared" si="3"/>
        <v>249999.96000000008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2" customFormat="1" ht="23.25" customHeight="1">
      <c r="A21" s="118">
        <v>27301</v>
      </c>
      <c r="B21" s="92" t="s">
        <v>46</v>
      </c>
      <c r="C21" s="96">
        <v>20833.330000000002</v>
      </c>
      <c r="D21" s="96">
        <v>20833.330000000002</v>
      </c>
      <c r="E21" s="96">
        <v>20833.330000000002</v>
      </c>
      <c r="F21" s="96">
        <v>20833.330000000002</v>
      </c>
      <c r="G21" s="96">
        <v>20833.330000000002</v>
      </c>
      <c r="H21" s="96">
        <v>20833.330000000002</v>
      </c>
      <c r="I21" s="96">
        <v>20833.330000000002</v>
      </c>
      <c r="J21" s="96">
        <v>20833.330000000002</v>
      </c>
      <c r="K21" s="96">
        <v>20833.330000000002</v>
      </c>
      <c r="L21" s="96">
        <v>20833.330000000002</v>
      </c>
      <c r="M21" s="96">
        <v>20833.330000000002</v>
      </c>
      <c r="N21" s="96">
        <v>20833.330000000002</v>
      </c>
      <c r="O21" s="95">
        <f t="shared" si="3"/>
        <v>249999.96000000008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2" customFormat="1" ht="51">
      <c r="A22" s="118">
        <v>29301</v>
      </c>
      <c r="B22" s="92" t="s">
        <v>47</v>
      </c>
      <c r="C22" s="96">
        <f>12000-6000</f>
        <v>6000</v>
      </c>
      <c r="D22" s="96">
        <f t="shared" ref="D22:N22" si="4">12000-6000</f>
        <v>6000</v>
      </c>
      <c r="E22" s="96">
        <f t="shared" si="4"/>
        <v>6000</v>
      </c>
      <c r="F22" s="96">
        <f t="shared" si="4"/>
        <v>6000</v>
      </c>
      <c r="G22" s="96">
        <f t="shared" si="4"/>
        <v>6000</v>
      </c>
      <c r="H22" s="96">
        <f t="shared" si="4"/>
        <v>6000</v>
      </c>
      <c r="I22" s="96">
        <f t="shared" si="4"/>
        <v>6000</v>
      </c>
      <c r="J22" s="96">
        <f t="shared" si="4"/>
        <v>6000</v>
      </c>
      <c r="K22" s="96">
        <f t="shared" si="4"/>
        <v>6000</v>
      </c>
      <c r="L22" s="96">
        <f t="shared" si="4"/>
        <v>6000</v>
      </c>
      <c r="M22" s="96">
        <f t="shared" si="4"/>
        <v>6000</v>
      </c>
      <c r="N22" s="96">
        <f t="shared" si="4"/>
        <v>6000</v>
      </c>
      <c r="O22" s="95">
        <f t="shared" si="3"/>
        <v>72000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2" customFormat="1" ht="39.75" customHeight="1">
      <c r="A23" s="118">
        <v>29401</v>
      </c>
      <c r="B23" s="92" t="s">
        <v>48</v>
      </c>
      <c r="C23" s="96">
        <f>5000-2500</f>
        <v>2500</v>
      </c>
      <c r="D23" s="96">
        <f t="shared" ref="D23:N23" si="5">5000-2500</f>
        <v>2500</v>
      </c>
      <c r="E23" s="96">
        <f t="shared" si="5"/>
        <v>2500</v>
      </c>
      <c r="F23" s="96">
        <f t="shared" si="5"/>
        <v>2500</v>
      </c>
      <c r="G23" s="96">
        <f t="shared" si="5"/>
        <v>2500</v>
      </c>
      <c r="H23" s="96">
        <f t="shared" si="5"/>
        <v>2500</v>
      </c>
      <c r="I23" s="96">
        <f t="shared" si="5"/>
        <v>2500</v>
      </c>
      <c r="J23" s="96">
        <f t="shared" si="5"/>
        <v>2500</v>
      </c>
      <c r="K23" s="96">
        <f t="shared" si="5"/>
        <v>2500</v>
      </c>
      <c r="L23" s="96">
        <f t="shared" si="5"/>
        <v>2500</v>
      </c>
      <c r="M23" s="96">
        <f t="shared" si="5"/>
        <v>2500</v>
      </c>
      <c r="N23" s="96">
        <f t="shared" si="5"/>
        <v>2500</v>
      </c>
      <c r="O23" s="95">
        <f t="shared" si="3"/>
        <v>30000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s="32" customFormat="1" ht="34.5" customHeight="1">
      <c r="A24" s="120">
        <v>31101</v>
      </c>
      <c r="B24" s="92" t="s">
        <v>51</v>
      </c>
      <c r="C24" s="100">
        <f>25000-12500</f>
        <v>12500</v>
      </c>
      <c r="D24" s="100">
        <f t="shared" ref="D24:N24" si="6">25000-12500</f>
        <v>12500</v>
      </c>
      <c r="E24" s="100">
        <f t="shared" si="6"/>
        <v>12500</v>
      </c>
      <c r="F24" s="100">
        <f t="shared" si="6"/>
        <v>12500</v>
      </c>
      <c r="G24" s="100">
        <f t="shared" si="6"/>
        <v>12500</v>
      </c>
      <c r="H24" s="100">
        <f t="shared" si="6"/>
        <v>12500</v>
      </c>
      <c r="I24" s="100">
        <f t="shared" si="6"/>
        <v>12500</v>
      </c>
      <c r="J24" s="100">
        <f t="shared" si="6"/>
        <v>12500</v>
      </c>
      <c r="K24" s="100">
        <f t="shared" si="6"/>
        <v>12500</v>
      </c>
      <c r="L24" s="100">
        <f t="shared" si="6"/>
        <v>12500</v>
      </c>
      <c r="M24" s="100">
        <f t="shared" si="6"/>
        <v>12500</v>
      </c>
      <c r="N24" s="100">
        <f t="shared" si="6"/>
        <v>12500</v>
      </c>
      <c r="O24" s="95">
        <f t="shared" si="3"/>
        <v>150000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s="32" customFormat="1" ht="34.5" customHeight="1">
      <c r="A25" s="118">
        <v>31301</v>
      </c>
      <c r="B25" s="93" t="s">
        <v>52</v>
      </c>
      <c r="C25" s="100">
        <v>7500</v>
      </c>
      <c r="D25" s="100">
        <v>7500</v>
      </c>
      <c r="E25" s="100">
        <v>7500</v>
      </c>
      <c r="F25" s="100">
        <v>7500</v>
      </c>
      <c r="G25" s="100">
        <v>7500</v>
      </c>
      <c r="H25" s="100">
        <v>7500</v>
      </c>
      <c r="I25" s="100">
        <v>7500</v>
      </c>
      <c r="J25" s="100">
        <v>7500</v>
      </c>
      <c r="K25" s="100">
        <v>7500</v>
      </c>
      <c r="L25" s="100">
        <v>7500</v>
      </c>
      <c r="M25" s="100">
        <v>7500</v>
      </c>
      <c r="N25" s="100">
        <v>7500</v>
      </c>
      <c r="O25" s="95">
        <f t="shared" si="3"/>
        <v>90000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s="32" customFormat="1" ht="21.75" customHeight="1">
      <c r="A26" s="119">
        <v>31401</v>
      </c>
      <c r="B26" s="90" t="s">
        <v>53</v>
      </c>
      <c r="C26" s="97">
        <v>13500</v>
      </c>
      <c r="D26" s="97">
        <v>13500</v>
      </c>
      <c r="E26" s="97">
        <v>13500</v>
      </c>
      <c r="F26" s="97">
        <v>13500</v>
      </c>
      <c r="G26" s="97">
        <v>13500</v>
      </c>
      <c r="H26" s="97">
        <v>13500</v>
      </c>
      <c r="I26" s="97">
        <v>13500</v>
      </c>
      <c r="J26" s="97">
        <v>13500</v>
      </c>
      <c r="K26" s="97">
        <v>13500</v>
      </c>
      <c r="L26" s="97">
        <v>13500</v>
      </c>
      <c r="M26" s="97">
        <v>13500</v>
      </c>
      <c r="N26" s="97">
        <v>13500</v>
      </c>
      <c r="O26" s="95">
        <f t="shared" si="3"/>
        <v>162000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2" customFormat="1" ht="28.5" customHeight="1">
      <c r="A27" s="119">
        <v>31802</v>
      </c>
      <c r="B27" s="90" t="s">
        <v>54</v>
      </c>
      <c r="C27" s="96">
        <f>130*30-2400</f>
        <v>1500</v>
      </c>
      <c r="D27" s="96">
        <f t="shared" ref="D27:M27" si="7">130*30-2400</f>
        <v>1500</v>
      </c>
      <c r="E27" s="96">
        <f t="shared" si="7"/>
        <v>1500</v>
      </c>
      <c r="F27" s="96">
        <f t="shared" si="7"/>
        <v>1500</v>
      </c>
      <c r="G27" s="96">
        <f t="shared" si="7"/>
        <v>1500</v>
      </c>
      <c r="H27" s="96">
        <f t="shared" si="7"/>
        <v>1500</v>
      </c>
      <c r="I27" s="96">
        <f t="shared" si="7"/>
        <v>1500</v>
      </c>
      <c r="J27" s="96">
        <f t="shared" si="7"/>
        <v>1500</v>
      </c>
      <c r="K27" s="96">
        <f t="shared" si="7"/>
        <v>1500</v>
      </c>
      <c r="L27" s="96">
        <f t="shared" si="7"/>
        <v>1500</v>
      </c>
      <c r="M27" s="96">
        <f t="shared" si="7"/>
        <v>1500</v>
      </c>
      <c r="N27" s="96">
        <f t="shared" ref="N27" si="8">130*30</f>
        <v>3900</v>
      </c>
      <c r="O27" s="95">
        <f t="shared" si="3"/>
        <v>20400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s="32" customFormat="1" ht="28.5" customHeight="1">
      <c r="A28" s="119">
        <v>32201</v>
      </c>
      <c r="B28" s="90" t="s">
        <v>55</v>
      </c>
      <c r="C28" s="96">
        <f>22000+5000+5000+5000+5000</f>
        <v>42000</v>
      </c>
      <c r="D28" s="96">
        <f t="shared" ref="D28:H28" si="9">22000+5000+5000+5000+5000</f>
        <v>42000</v>
      </c>
      <c r="E28" s="96">
        <f t="shared" si="9"/>
        <v>42000</v>
      </c>
      <c r="F28" s="96">
        <f t="shared" si="9"/>
        <v>42000</v>
      </c>
      <c r="G28" s="96">
        <f t="shared" si="9"/>
        <v>42000</v>
      </c>
      <c r="H28" s="96">
        <f t="shared" si="9"/>
        <v>42000</v>
      </c>
      <c r="I28" s="96">
        <f>5000+5000+5000+5000</f>
        <v>20000</v>
      </c>
      <c r="J28" s="96">
        <f t="shared" ref="J28:N28" si="10">5000+5000+5000+5000</f>
        <v>20000</v>
      </c>
      <c r="K28" s="96">
        <f t="shared" si="10"/>
        <v>20000</v>
      </c>
      <c r="L28" s="96">
        <f t="shared" si="10"/>
        <v>20000</v>
      </c>
      <c r="M28" s="96">
        <f t="shared" si="10"/>
        <v>20000</v>
      </c>
      <c r="N28" s="96">
        <f t="shared" si="10"/>
        <v>20000</v>
      </c>
      <c r="O28" s="95">
        <f t="shared" si="3"/>
        <v>372000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s="32" customFormat="1" ht="32.25" customHeight="1">
      <c r="A29" s="118">
        <v>32501</v>
      </c>
      <c r="B29" s="90" t="s">
        <v>56</v>
      </c>
      <c r="C29" s="96">
        <f>75000-45000</f>
        <v>30000</v>
      </c>
      <c r="D29" s="96">
        <f t="shared" ref="D29:N29" si="11">75000-45000</f>
        <v>30000</v>
      </c>
      <c r="E29" s="96">
        <f t="shared" si="11"/>
        <v>30000</v>
      </c>
      <c r="F29" s="96">
        <f t="shared" si="11"/>
        <v>30000</v>
      </c>
      <c r="G29" s="96">
        <f t="shared" si="11"/>
        <v>30000</v>
      </c>
      <c r="H29" s="96">
        <f t="shared" si="11"/>
        <v>30000</v>
      </c>
      <c r="I29" s="96">
        <f t="shared" si="11"/>
        <v>30000</v>
      </c>
      <c r="J29" s="96">
        <f t="shared" si="11"/>
        <v>30000</v>
      </c>
      <c r="K29" s="96">
        <f t="shared" si="11"/>
        <v>30000</v>
      </c>
      <c r="L29" s="96">
        <f t="shared" si="11"/>
        <v>30000</v>
      </c>
      <c r="M29" s="96">
        <f t="shared" si="11"/>
        <v>30000</v>
      </c>
      <c r="N29" s="96">
        <f t="shared" si="11"/>
        <v>30000</v>
      </c>
      <c r="O29" s="95">
        <f t="shared" si="3"/>
        <v>360000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s="32" customFormat="1" ht="16.5">
      <c r="A30" s="119">
        <v>32901</v>
      </c>
      <c r="B30" s="90" t="s">
        <v>57</v>
      </c>
      <c r="C30" s="96">
        <f>15000-7000</f>
        <v>8000</v>
      </c>
      <c r="D30" s="96">
        <f t="shared" ref="D30:N30" si="12">15000-7000</f>
        <v>8000</v>
      </c>
      <c r="E30" s="96">
        <f t="shared" si="12"/>
        <v>8000</v>
      </c>
      <c r="F30" s="96">
        <f t="shared" si="12"/>
        <v>8000</v>
      </c>
      <c r="G30" s="96">
        <f t="shared" si="12"/>
        <v>8000</v>
      </c>
      <c r="H30" s="96">
        <f t="shared" si="12"/>
        <v>8000</v>
      </c>
      <c r="I30" s="96">
        <f t="shared" si="12"/>
        <v>8000</v>
      </c>
      <c r="J30" s="96">
        <f t="shared" si="12"/>
        <v>8000</v>
      </c>
      <c r="K30" s="96">
        <f t="shared" si="12"/>
        <v>8000</v>
      </c>
      <c r="L30" s="96">
        <f t="shared" si="12"/>
        <v>8000</v>
      </c>
      <c r="M30" s="96">
        <f t="shared" si="12"/>
        <v>8000</v>
      </c>
      <c r="N30" s="96">
        <f t="shared" si="12"/>
        <v>8000</v>
      </c>
      <c r="O30" s="95">
        <f t="shared" si="3"/>
        <v>96000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s="32" customFormat="1" ht="25.5" customHeight="1">
      <c r="A31" s="119">
        <v>33601</v>
      </c>
      <c r="B31" s="90" t="s">
        <v>64</v>
      </c>
      <c r="C31" s="96">
        <f>27000-17000</f>
        <v>10000</v>
      </c>
      <c r="D31" s="96">
        <f t="shared" ref="D31:N31" si="13">27000-17000</f>
        <v>10000</v>
      </c>
      <c r="E31" s="96">
        <f t="shared" si="13"/>
        <v>10000</v>
      </c>
      <c r="F31" s="96">
        <f t="shared" si="13"/>
        <v>10000</v>
      </c>
      <c r="G31" s="96">
        <f t="shared" si="13"/>
        <v>10000</v>
      </c>
      <c r="H31" s="96">
        <f t="shared" si="13"/>
        <v>10000</v>
      </c>
      <c r="I31" s="96">
        <f t="shared" si="13"/>
        <v>10000</v>
      </c>
      <c r="J31" s="96">
        <f t="shared" si="13"/>
        <v>10000</v>
      </c>
      <c r="K31" s="96">
        <f t="shared" si="13"/>
        <v>10000</v>
      </c>
      <c r="L31" s="96">
        <f t="shared" si="13"/>
        <v>10000</v>
      </c>
      <c r="M31" s="96">
        <f t="shared" si="13"/>
        <v>10000</v>
      </c>
      <c r="N31" s="96">
        <f t="shared" si="13"/>
        <v>10000</v>
      </c>
      <c r="O31" s="95">
        <f t="shared" si="3"/>
        <v>120000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s="32" customFormat="1" ht="25.5" customHeight="1">
      <c r="A32" s="119">
        <v>33801</v>
      </c>
      <c r="B32" s="90" t="s">
        <v>117</v>
      </c>
      <c r="C32" s="96">
        <v>10000</v>
      </c>
      <c r="D32" s="96">
        <v>10000</v>
      </c>
      <c r="E32" s="96">
        <v>10000</v>
      </c>
      <c r="F32" s="96">
        <v>10000</v>
      </c>
      <c r="G32" s="96">
        <v>10000</v>
      </c>
      <c r="H32" s="96">
        <v>10000</v>
      </c>
      <c r="I32" s="96">
        <v>10000</v>
      </c>
      <c r="J32" s="96">
        <v>10000</v>
      </c>
      <c r="K32" s="96">
        <v>10000</v>
      </c>
      <c r="L32" s="96">
        <v>10000</v>
      </c>
      <c r="M32" s="96">
        <v>10000</v>
      </c>
      <c r="N32" s="96">
        <v>10000</v>
      </c>
      <c r="O32" s="95">
        <f t="shared" si="3"/>
        <v>120000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s="32" customFormat="1" ht="32.25" customHeight="1">
      <c r="A33" s="118">
        <v>34102</v>
      </c>
      <c r="B33" s="90" t="s">
        <v>59</v>
      </c>
      <c r="C33" s="96">
        <v>1800</v>
      </c>
      <c r="D33" s="96">
        <v>1800</v>
      </c>
      <c r="E33" s="96">
        <v>1800</v>
      </c>
      <c r="F33" s="96">
        <v>1800</v>
      </c>
      <c r="G33" s="96">
        <v>1800</v>
      </c>
      <c r="H33" s="96">
        <v>1800</v>
      </c>
      <c r="I33" s="96">
        <v>1800</v>
      </c>
      <c r="J33" s="96">
        <v>1800</v>
      </c>
      <c r="K33" s="96">
        <v>1800</v>
      </c>
      <c r="L33" s="96">
        <v>1800</v>
      </c>
      <c r="M33" s="96">
        <v>1800</v>
      </c>
      <c r="N33" s="96">
        <v>1800</v>
      </c>
      <c r="O33" s="95">
        <f t="shared" si="3"/>
        <v>21600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s="32" customFormat="1" ht="16.5">
      <c r="A34" s="119">
        <v>34501</v>
      </c>
      <c r="B34" s="90" t="s">
        <v>58</v>
      </c>
      <c r="C34" s="96">
        <v>20000</v>
      </c>
      <c r="D34" s="96"/>
      <c r="E34" s="96"/>
      <c r="F34" s="96"/>
      <c r="G34" s="96"/>
      <c r="H34" s="96"/>
      <c r="I34" s="96">
        <v>20000</v>
      </c>
      <c r="J34" s="96"/>
      <c r="K34" s="96"/>
      <c r="L34" s="96"/>
      <c r="M34" s="96"/>
      <c r="N34" s="96"/>
      <c r="O34" s="95">
        <f t="shared" si="3"/>
        <v>40000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s="32" customFormat="1" ht="25.5">
      <c r="A35" s="118">
        <v>35101</v>
      </c>
      <c r="B35" s="90" t="s">
        <v>60</v>
      </c>
      <c r="C35" s="96">
        <v>10000</v>
      </c>
      <c r="D35" s="96">
        <v>10000</v>
      </c>
      <c r="E35" s="96">
        <v>10000</v>
      </c>
      <c r="F35" s="96">
        <v>10000</v>
      </c>
      <c r="G35" s="96">
        <v>10000</v>
      </c>
      <c r="H35" s="96">
        <v>10000</v>
      </c>
      <c r="I35" s="96">
        <v>10000</v>
      </c>
      <c r="J35" s="96">
        <v>10000</v>
      </c>
      <c r="K35" s="96">
        <v>10000</v>
      </c>
      <c r="L35" s="96">
        <v>10000</v>
      </c>
      <c r="M35" s="96">
        <v>10000</v>
      </c>
      <c r="N35" s="96">
        <v>10000</v>
      </c>
      <c r="O35" s="95">
        <f t="shared" si="3"/>
        <v>120000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s="32" customFormat="1" ht="51">
      <c r="A36" s="118">
        <v>35201</v>
      </c>
      <c r="B36" s="90" t="s">
        <v>61</v>
      </c>
      <c r="C36" s="96">
        <v>5000</v>
      </c>
      <c r="D36" s="96">
        <v>5000</v>
      </c>
      <c r="E36" s="96">
        <v>5000</v>
      </c>
      <c r="F36" s="96">
        <v>5000</v>
      </c>
      <c r="G36" s="97"/>
      <c r="H36" s="97"/>
      <c r="I36" s="97"/>
      <c r="J36" s="97"/>
      <c r="K36" s="97"/>
      <c r="L36" s="97"/>
      <c r="M36" s="97"/>
      <c r="N36" s="97"/>
      <c r="O36" s="95">
        <f t="shared" si="3"/>
        <v>20000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s="32" customFormat="1" ht="25.5">
      <c r="A37" s="118">
        <v>35501</v>
      </c>
      <c r="B37" s="90" t="s">
        <v>116</v>
      </c>
      <c r="C37" s="96">
        <f>27000-12000</f>
        <v>15000</v>
      </c>
      <c r="D37" s="97"/>
      <c r="E37" s="97"/>
      <c r="F37" s="96">
        <f>27000-12000</f>
        <v>15000</v>
      </c>
      <c r="G37" s="97"/>
      <c r="H37" s="97"/>
      <c r="I37" s="96">
        <f>27000-12000</f>
        <v>15000</v>
      </c>
      <c r="J37" s="97"/>
      <c r="K37" s="97"/>
      <c r="L37" s="96">
        <f>27000-12000</f>
        <v>15000</v>
      </c>
      <c r="M37" s="97"/>
      <c r="N37" s="96"/>
      <c r="O37" s="95">
        <f t="shared" si="3"/>
        <v>60000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s="32" customFormat="1" ht="19.5" customHeight="1">
      <c r="A38" s="118">
        <v>35901</v>
      </c>
      <c r="B38" s="90" t="s">
        <v>62</v>
      </c>
      <c r="C38" s="96">
        <v>12000</v>
      </c>
      <c r="D38" s="96">
        <v>12000</v>
      </c>
      <c r="E38" s="96">
        <v>12000</v>
      </c>
      <c r="F38" s="96">
        <v>12000</v>
      </c>
      <c r="G38" s="96">
        <v>12000</v>
      </c>
      <c r="H38" s="96">
        <v>12000</v>
      </c>
      <c r="I38" s="96">
        <v>12000</v>
      </c>
      <c r="J38" s="96">
        <v>12000</v>
      </c>
      <c r="K38" s="96">
        <v>12000</v>
      </c>
      <c r="L38" s="96">
        <v>12000</v>
      </c>
      <c r="M38" s="96">
        <v>12000</v>
      </c>
      <c r="N38" s="96">
        <v>12000</v>
      </c>
      <c r="O38" s="95">
        <f t="shared" si="3"/>
        <v>144000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s="32" customFormat="1" ht="25.5" customHeight="1">
      <c r="A39" s="119">
        <v>36101</v>
      </c>
      <c r="B39" s="94" t="s">
        <v>63</v>
      </c>
      <c r="C39" s="97">
        <f>30000-15000</f>
        <v>15000</v>
      </c>
      <c r="D39" s="97"/>
      <c r="E39" s="97">
        <f>30000-15000</f>
        <v>15000</v>
      </c>
      <c r="F39" s="97"/>
      <c r="G39" s="97">
        <f>30000-15000</f>
        <v>15000</v>
      </c>
      <c r="H39" s="97"/>
      <c r="I39" s="97">
        <f>30000-15000</f>
        <v>15000</v>
      </c>
      <c r="J39" s="97"/>
      <c r="K39" s="97">
        <f>30000-15000</f>
        <v>15000</v>
      </c>
      <c r="L39" s="97"/>
      <c r="M39" s="97">
        <f>30000-15000</f>
        <v>15000</v>
      </c>
      <c r="N39" s="97"/>
      <c r="O39" s="95">
        <f t="shared" si="3"/>
        <v>90000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s="32" customFormat="1" ht="25.5" customHeight="1">
      <c r="A40" s="118">
        <v>37101</v>
      </c>
      <c r="B40" s="90" t="s">
        <v>66</v>
      </c>
      <c r="C40" s="96"/>
      <c r="D40" s="96"/>
      <c r="E40" s="96">
        <f>12000</f>
        <v>12000</v>
      </c>
      <c r="F40" s="96"/>
      <c r="G40" s="96">
        <f>12000</f>
        <v>12000</v>
      </c>
      <c r="H40" s="96"/>
      <c r="I40" s="96"/>
      <c r="J40" s="96"/>
      <c r="K40" s="96"/>
      <c r="L40" s="96"/>
      <c r="M40" s="96">
        <f>12000</f>
        <v>12000</v>
      </c>
      <c r="N40" s="96"/>
      <c r="O40" s="95">
        <f t="shared" si="3"/>
        <v>36000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s="32" customFormat="1" ht="20.25" customHeight="1">
      <c r="A41" s="118">
        <v>37201</v>
      </c>
      <c r="B41" s="90" t="s">
        <v>67</v>
      </c>
      <c r="C41" s="96">
        <f>2600*5</f>
        <v>13000</v>
      </c>
      <c r="D41" s="96">
        <f t="shared" ref="D41:N41" si="14">2600*5</f>
        <v>13000</v>
      </c>
      <c r="E41" s="96">
        <f t="shared" si="14"/>
        <v>13000</v>
      </c>
      <c r="F41" s="96">
        <f t="shared" si="14"/>
        <v>13000</v>
      </c>
      <c r="G41" s="96">
        <f t="shared" si="14"/>
        <v>13000</v>
      </c>
      <c r="H41" s="96">
        <f t="shared" si="14"/>
        <v>13000</v>
      </c>
      <c r="I41" s="96">
        <f t="shared" si="14"/>
        <v>13000</v>
      </c>
      <c r="J41" s="96">
        <f t="shared" si="14"/>
        <v>13000</v>
      </c>
      <c r="K41" s="96">
        <f t="shared" si="14"/>
        <v>13000</v>
      </c>
      <c r="L41" s="96">
        <f t="shared" si="14"/>
        <v>13000</v>
      </c>
      <c r="M41" s="96">
        <f t="shared" si="14"/>
        <v>13000</v>
      </c>
      <c r="N41" s="96">
        <f t="shared" si="14"/>
        <v>13000</v>
      </c>
      <c r="O41" s="95">
        <f t="shared" si="3"/>
        <v>156000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s="32" customFormat="1" ht="25.5" customHeight="1">
      <c r="A42" s="119">
        <v>37501</v>
      </c>
      <c r="B42" s="90" t="s">
        <v>65</v>
      </c>
      <c r="C42" s="96">
        <v>5000</v>
      </c>
      <c r="D42" s="96">
        <v>5000</v>
      </c>
      <c r="E42" s="96">
        <v>5000</v>
      </c>
      <c r="F42" s="96">
        <v>5000</v>
      </c>
      <c r="G42" s="96">
        <v>5000</v>
      </c>
      <c r="H42" s="96">
        <v>5000</v>
      </c>
      <c r="I42" s="96">
        <v>5000</v>
      </c>
      <c r="J42" s="96">
        <v>5000</v>
      </c>
      <c r="K42" s="96">
        <v>5000</v>
      </c>
      <c r="L42" s="96">
        <v>5000</v>
      </c>
      <c r="M42" s="96">
        <v>5000</v>
      </c>
      <c r="N42" s="96">
        <v>5000</v>
      </c>
      <c r="O42" s="95">
        <f t="shared" si="3"/>
        <v>60000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s="32" customFormat="1" ht="25.5" customHeight="1">
      <c r="A43" s="119">
        <v>37901</v>
      </c>
      <c r="B43" s="90" t="s">
        <v>68</v>
      </c>
      <c r="C43" s="96">
        <v>6000</v>
      </c>
      <c r="D43" s="96">
        <v>6000</v>
      </c>
      <c r="E43" s="96">
        <v>6000</v>
      </c>
      <c r="F43" s="96">
        <v>6000</v>
      </c>
      <c r="G43" s="96">
        <v>6000</v>
      </c>
      <c r="H43" s="96">
        <v>6000</v>
      </c>
      <c r="I43" s="96">
        <v>6000</v>
      </c>
      <c r="J43" s="96">
        <v>6000</v>
      </c>
      <c r="K43" s="96">
        <v>6000</v>
      </c>
      <c r="L43" s="96">
        <v>6000</v>
      </c>
      <c r="M43" s="96">
        <v>6000</v>
      </c>
      <c r="N43" s="96">
        <v>6000</v>
      </c>
      <c r="O43" s="95">
        <f t="shared" si="3"/>
        <v>72000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s="32" customFormat="1" ht="25.5" customHeight="1">
      <c r="A44" s="119">
        <v>38202</v>
      </c>
      <c r="B44" s="90" t="s">
        <v>69</v>
      </c>
      <c r="C44" s="96">
        <v>1500</v>
      </c>
      <c r="D44" s="96">
        <v>1500</v>
      </c>
      <c r="E44" s="96">
        <v>1500</v>
      </c>
      <c r="F44" s="96">
        <v>1500</v>
      </c>
      <c r="G44" s="96">
        <v>1500</v>
      </c>
      <c r="H44" s="96">
        <v>1500</v>
      </c>
      <c r="I44" s="96">
        <v>1500</v>
      </c>
      <c r="J44" s="96">
        <v>1500</v>
      </c>
      <c r="K44" s="96">
        <v>1500</v>
      </c>
      <c r="L44" s="96">
        <v>1500</v>
      </c>
      <c r="M44" s="96">
        <v>1500</v>
      </c>
      <c r="N44" s="96">
        <v>1500</v>
      </c>
      <c r="O44" s="95">
        <f t="shared" si="3"/>
        <v>18000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s="32" customFormat="1" ht="25.5" customHeight="1">
      <c r="A45" s="118">
        <v>39101</v>
      </c>
      <c r="B45" s="90" t="s">
        <v>70</v>
      </c>
      <c r="C45" s="96"/>
      <c r="D45" s="97">
        <v>25000</v>
      </c>
      <c r="E45" s="97"/>
      <c r="F45" s="97"/>
      <c r="G45" s="97"/>
      <c r="H45" s="97"/>
      <c r="I45" s="97"/>
      <c r="J45" s="97"/>
      <c r="K45" s="97">
        <v>25000</v>
      </c>
      <c r="L45" s="97"/>
      <c r="M45" s="97"/>
      <c r="N45" s="97"/>
      <c r="O45" s="95">
        <f t="shared" si="3"/>
        <v>50000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s="32" customFormat="1" ht="25.5" customHeight="1">
      <c r="A46" s="118">
        <v>39201</v>
      </c>
      <c r="B46" s="94" t="s">
        <v>73</v>
      </c>
      <c r="C46" s="97">
        <v>3000</v>
      </c>
      <c r="D46" s="97">
        <v>3000</v>
      </c>
      <c r="E46" s="97">
        <v>3000</v>
      </c>
      <c r="F46" s="97">
        <v>3000</v>
      </c>
      <c r="G46" s="97">
        <v>3000</v>
      </c>
      <c r="H46" s="97">
        <v>3000</v>
      </c>
      <c r="I46" s="97">
        <v>3000</v>
      </c>
      <c r="J46" s="97">
        <v>3000</v>
      </c>
      <c r="K46" s="97">
        <v>3000</v>
      </c>
      <c r="L46" s="97">
        <v>3000</v>
      </c>
      <c r="M46" s="97">
        <v>3000</v>
      </c>
      <c r="N46" s="97">
        <v>3000</v>
      </c>
      <c r="O46" s="95">
        <f t="shared" si="3"/>
        <v>36000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s="32" customFormat="1" ht="25.5" customHeight="1">
      <c r="A47" s="118">
        <v>39903</v>
      </c>
      <c r="B47" s="94" t="s">
        <v>74</v>
      </c>
      <c r="C47" s="97">
        <v>8000</v>
      </c>
      <c r="D47" s="97">
        <v>8000</v>
      </c>
      <c r="E47" s="97">
        <v>8000</v>
      </c>
      <c r="F47" s="97">
        <v>8000</v>
      </c>
      <c r="G47" s="97">
        <v>8000</v>
      </c>
      <c r="H47" s="97">
        <v>8000</v>
      </c>
      <c r="I47" s="97">
        <v>8000</v>
      </c>
      <c r="J47" s="97">
        <v>8000</v>
      </c>
      <c r="K47" s="97">
        <v>8000</v>
      </c>
      <c r="L47" s="97">
        <v>8000</v>
      </c>
      <c r="M47" s="97">
        <v>8000</v>
      </c>
      <c r="N47" s="97">
        <v>8000</v>
      </c>
      <c r="O47" s="95">
        <f t="shared" si="3"/>
        <v>96000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s="32" customFormat="1" ht="20.25" customHeight="1">
      <c r="A48" s="118">
        <v>51501</v>
      </c>
      <c r="B48" s="94" t="s">
        <v>111</v>
      </c>
      <c r="C48" s="97"/>
      <c r="D48" s="97">
        <v>10000</v>
      </c>
      <c r="E48" s="97"/>
      <c r="F48" s="97"/>
      <c r="G48" s="97">
        <v>10000</v>
      </c>
      <c r="H48" s="97"/>
      <c r="I48" s="97"/>
      <c r="J48" s="97"/>
      <c r="K48" s="97">
        <v>10000</v>
      </c>
      <c r="L48" s="97"/>
      <c r="M48" s="97"/>
      <c r="N48" s="97"/>
      <c r="O48" s="95">
        <f t="shared" si="3"/>
        <v>30000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s="32" customFormat="1" ht="25.5" customHeight="1">
      <c r="A49" s="118">
        <v>51101</v>
      </c>
      <c r="B49" s="94" t="s">
        <v>110</v>
      </c>
      <c r="C49" s="97"/>
      <c r="D49" s="97">
        <v>10000</v>
      </c>
      <c r="E49" s="97"/>
      <c r="F49" s="97"/>
      <c r="G49" s="97">
        <v>10000</v>
      </c>
      <c r="H49" s="97"/>
      <c r="I49" s="97"/>
      <c r="J49" s="97"/>
      <c r="K49" s="97">
        <v>10000</v>
      </c>
      <c r="L49" s="97"/>
      <c r="M49" s="97"/>
      <c r="N49" s="97"/>
      <c r="O49" s="95">
        <f t="shared" si="3"/>
        <v>30000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s="32" customFormat="1" ht="25.5" customHeight="1">
      <c r="A50" s="118">
        <v>51901</v>
      </c>
      <c r="B50" s="94" t="s">
        <v>112</v>
      </c>
      <c r="C50" s="97"/>
      <c r="D50" s="97">
        <v>5000</v>
      </c>
      <c r="E50" s="97"/>
      <c r="F50" s="97"/>
      <c r="G50" s="97">
        <v>5000</v>
      </c>
      <c r="H50" s="97"/>
      <c r="I50" s="97"/>
      <c r="J50" s="97"/>
      <c r="K50" s="97">
        <v>5000</v>
      </c>
      <c r="L50" s="97"/>
      <c r="M50" s="97"/>
      <c r="N50" s="97"/>
      <c r="O50" s="95">
        <f t="shared" si="3"/>
        <v>15000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s="32" customFormat="1" ht="25.5" customHeight="1">
      <c r="A51" s="118">
        <v>52301</v>
      </c>
      <c r="B51" s="94" t="s">
        <v>113</v>
      </c>
      <c r="C51" s="97"/>
      <c r="D51" s="97">
        <f>120000/4</f>
        <v>30000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5">
        <f t="shared" si="3"/>
        <v>30000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s="32" customFormat="1" ht="25.5" customHeight="1">
      <c r="A52" s="118">
        <v>54101</v>
      </c>
      <c r="B52" s="94" t="s">
        <v>114</v>
      </c>
      <c r="C52" s="97"/>
      <c r="D52" s="97">
        <v>25000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5">
        <f t="shared" si="3"/>
        <v>25000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s="32" customFormat="1" ht="25.5" customHeight="1">
      <c r="A53" s="118">
        <v>56401</v>
      </c>
      <c r="B53" s="94" t="s">
        <v>115</v>
      </c>
      <c r="C53" s="97">
        <f>15000+26000+182.94-0.56</f>
        <v>41182.380000000005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5">
        <f t="shared" si="3"/>
        <v>41182.380000000005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s="32" customFormat="1" ht="25.5" customHeight="1">
      <c r="A54" s="118">
        <v>56701</v>
      </c>
      <c r="B54" s="94" t="s">
        <v>109</v>
      </c>
      <c r="C54" s="97">
        <v>5000</v>
      </c>
      <c r="D54" s="97">
        <v>5000</v>
      </c>
      <c r="E54" s="97">
        <v>5000</v>
      </c>
      <c r="F54" s="97">
        <v>5000</v>
      </c>
      <c r="G54" s="97">
        <v>5000</v>
      </c>
      <c r="H54" s="97">
        <v>5000</v>
      </c>
      <c r="I54" s="97">
        <v>5000</v>
      </c>
      <c r="J54" s="97">
        <v>5000</v>
      </c>
      <c r="K54" s="97">
        <v>5000</v>
      </c>
      <c r="L54" s="97">
        <v>5000</v>
      </c>
      <c r="M54" s="97">
        <v>5000</v>
      </c>
      <c r="N54" s="97">
        <v>5000</v>
      </c>
      <c r="O54" s="95">
        <f t="shared" si="3"/>
        <v>60000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s="32" customFormat="1" ht="16.5">
      <c r="A55" s="160" t="s">
        <v>36</v>
      </c>
      <c r="B55" s="161"/>
      <c r="C55" s="101">
        <f t="shared" ref="C55:O55" si="15">SUM(C8:C54)</f>
        <v>3943774.25</v>
      </c>
      <c r="D55" s="101">
        <f t="shared" si="15"/>
        <v>2689998.52</v>
      </c>
      <c r="E55" s="101">
        <f t="shared" si="15"/>
        <v>2937747.16</v>
      </c>
      <c r="F55" s="101">
        <f t="shared" si="15"/>
        <v>2780215.59</v>
      </c>
      <c r="G55" s="101">
        <f t="shared" si="15"/>
        <v>2803847.2600000002</v>
      </c>
      <c r="H55" s="101">
        <f t="shared" si="15"/>
        <v>2548447.42</v>
      </c>
      <c r="I55" s="101">
        <f t="shared" si="15"/>
        <v>2795086.02</v>
      </c>
      <c r="J55" s="101">
        <f t="shared" si="15"/>
        <v>2443465.5299999998</v>
      </c>
      <c r="K55" s="101">
        <f t="shared" si="15"/>
        <v>3353668.29</v>
      </c>
      <c r="L55" s="101">
        <f t="shared" si="15"/>
        <v>2527946.94</v>
      </c>
      <c r="M55" s="101">
        <f t="shared" si="15"/>
        <v>2607333.65</v>
      </c>
      <c r="N55" s="101">
        <f t="shared" si="15"/>
        <v>4327769.370000001</v>
      </c>
      <c r="O55" s="146">
        <f t="shared" si="15"/>
        <v>35759300.000000007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s="32" customFormat="1" ht="16.5">
      <c r="B56" s="34"/>
      <c r="O56" s="147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48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3:25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3:25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3:25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3:25">
      <c r="G68" s="36"/>
      <c r="H68" s="36"/>
    </row>
  </sheetData>
  <mergeCells count="6">
    <mergeCell ref="A2:F2"/>
    <mergeCell ref="A55:B55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S21"/>
  <sheetViews>
    <sheetView showWhiteSpace="0" topLeftCell="E1" zoomScaleSheetLayoutView="100" workbookViewId="0">
      <selection activeCell="N20" sqref="N20"/>
    </sheetView>
  </sheetViews>
  <sheetFormatPr baseColWidth="10" defaultColWidth="11.42578125" defaultRowHeight="15"/>
  <cols>
    <col min="1" max="1" width="2.85546875" customWidth="1"/>
    <col min="2" max="3" width="10.140625" customWidth="1"/>
    <col min="4" max="4" width="21.42578125" customWidth="1"/>
    <col min="5" max="5" width="15.5703125" bestFit="1" customWidth="1"/>
    <col min="6" max="8" width="11.5703125" bestFit="1" customWidth="1"/>
    <col min="9" max="9" width="12.140625" customWidth="1"/>
    <col min="10" max="10" width="11.5703125" bestFit="1" customWidth="1"/>
    <col min="11" max="11" width="13.140625" bestFit="1" customWidth="1"/>
    <col min="12" max="12" width="13.5703125" customWidth="1"/>
    <col min="13" max="13" width="12" customWidth="1"/>
    <col min="14" max="14" width="11.42578125" customWidth="1"/>
    <col min="15" max="15" width="13.140625" bestFit="1" customWidth="1"/>
    <col min="16" max="16" width="11.5703125" bestFit="1" customWidth="1"/>
    <col min="17" max="17" width="13.140625" bestFit="1" customWidth="1"/>
  </cols>
  <sheetData>
    <row r="1" spans="2:19" ht="37.5" customHeight="1">
      <c r="B1" s="171" t="s">
        <v>0</v>
      </c>
      <c r="C1" s="171"/>
      <c r="D1" s="171"/>
      <c r="E1" s="167" t="s">
        <v>79</v>
      </c>
      <c r="F1" s="167"/>
      <c r="G1" s="167"/>
      <c r="H1" s="167"/>
      <c r="I1" s="77">
        <f>+Q17</f>
        <v>1740000</v>
      </c>
      <c r="K1" s="5"/>
    </row>
    <row r="2" spans="2:19" ht="15" customHeight="1">
      <c r="B2" s="80" t="s">
        <v>80</v>
      </c>
      <c r="C2" s="78"/>
      <c r="D2" s="78"/>
      <c r="E2" s="75"/>
      <c r="F2" s="75"/>
      <c r="G2" s="75"/>
      <c r="H2" s="75"/>
      <c r="I2" s="76"/>
      <c r="J2" s="79"/>
      <c r="K2" s="5"/>
      <c r="M2" s="156"/>
    </row>
    <row r="3" spans="2:19" ht="15" customHeight="1">
      <c r="B3" s="80"/>
      <c r="C3" s="78"/>
      <c r="D3" s="78"/>
      <c r="E3" s="75"/>
      <c r="F3" s="75"/>
      <c r="G3" s="75"/>
      <c r="H3" s="75"/>
      <c r="I3" s="76"/>
      <c r="J3" s="79"/>
      <c r="K3" s="5"/>
    </row>
    <row r="4" spans="2:19" ht="15" customHeight="1">
      <c r="B4" s="80"/>
      <c r="C4" s="78"/>
      <c r="D4" s="78"/>
      <c r="E4" s="75"/>
      <c r="F4" s="75"/>
      <c r="G4" s="75"/>
      <c r="H4" s="75"/>
      <c r="I4" s="76"/>
      <c r="J4" s="79"/>
      <c r="K4" s="5"/>
    </row>
    <row r="5" spans="2:19">
      <c r="B5" s="168"/>
      <c r="C5" s="168"/>
      <c r="D5" s="168"/>
      <c r="E5" s="79"/>
      <c r="F5" s="79"/>
      <c r="G5" s="79"/>
      <c r="H5" s="79"/>
      <c r="I5" s="79"/>
      <c r="J5" s="79"/>
      <c r="K5" s="5"/>
      <c r="L5" s="5"/>
      <c r="M5" s="5"/>
      <c r="N5" s="5"/>
      <c r="O5" s="5"/>
      <c r="P5" s="5"/>
      <c r="Q5" s="5"/>
      <c r="R5" s="5"/>
      <c r="S5" s="5"/>
    </row>
    <row r="6" spans="2:19">
      <c r="B6" s="172" t="s">
        <v>4</v>
      </c>
      <c r="C6" s="172"/>
      <c r="D6" s="87" t="s">
        <v>5</v>
      </c>
      <c r="E6" s="88" t="s">
        <v>6</v>
      </c>
      <c r="F6" s="88" t="s">
        <v>7</v>
      </c>
      <c r="G6" s="88" t="s">
        <v>8</v>
      </c>
      <c r="H6" s="88" t="s">
        <v>9</v>
      </c>
      <c r="I6" s="88" t="s">
        <v>10</v>
      </c>
      <c r="J6" s="88" t="s">
        <v>11</v>
      </c>
      <c r="K6" s="88" t="s">
        <v>12</v>
      </c>
      <c r="L6" s="88" t="s">
        <v>13</v>
      </c>
      <c r="M6" s="88" t="s">
        <v>14</v>
      </c>
      <c r="N6" s="88" t="s">
        <v>15</v>
      </c>
      <c r="O6" s="88" t="s">
        <v>16</v>
      </c>
      <c r="P6" s="88" t="s">
        <v>17</v>
      </c>
      <c r="Q6" s="89"/>
      <c r="R6" s="5"/>
      <c r="S6" s="5"/>
    </row>
    <row r="7" spans="2:19">
      <c r="B7" s="173"/>
      <c r="C7" s="173"/>
      <c r="D7" s="17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5"/>
      <c r="S7" s="5"/>
    </row>
    <row r="8" spans="2:19" ht="19.5" customHeight="1">
      <c r="B8" s="175">
        <v>27103</v>
      </c>
      <c r="C8" s="175"/>
      <c r="D8" s="62" t="s">
        <v>18</v>
      </c>
      <c r="E8" s="45"/>
      <c r="F8" s="45">
        <v>50000</v>
      </c>
      <c r="G8" s="45"/>
      <c r="H8" s="45"/>
      <c r="I8" s="45"/>
      <c r="J8" s="45"/>
      <c r="K8" s="45"/>
      <c r="L8" s="45">
        <v>80000</v>
      </c>
      <c r="M8" s="45"/>
      <c r="N8" s="45"/>
      <c r="O8" s="45"/>
      <c r="P8" s="45"/>
      <c r="Q8" s="45">
        <f t="shared" ref="Q8:Q14" si="0">SUM(E8:P8)</f>
        <v>130000</v>
      </c>
      <c r="R8" s="5"/>
      <c r="S8" s="5"/>
    </row>
    <row r="9" spans="2:19" ht="20.25" customHeight="1">
      <c r="B9" s="175">
        <v>27301</v>
      </c>
      <c r="C9" s="175"/>
      <c r="D9" s="62" t="s">
        <v>24</v>
      </c>
      <c r="E9" s="45"/>
      <c r="F9" s="45"/>
      <c r="G9" s="45">
        <v>69706.350000000006</v>
      </c>
      <c r="H9" s="45"/>
      <c r="I9" s="45"/>
      <c r="J9" s="45"/>
      <c r="K9" s="45"/>
      <c r="L9" s="45">
        <v>80000</v>
      </c>
      <c r="M9" s="45"/>
      <c r="N9" s="45"/>
      <c r="O9" s="45"/>
      <c r="P9" s="45"/>
      <c r="Q9" s="45">
        <f t="shared" si="0"/>
        <v>149706.35</v>
      </c>
      <c r="R9" s="5"/>
      <c r="S9" s="5"/>
    </row>
    <row r="10" spans="2:19" ht="33.75">
      <c r="B10" s="169">
        <v>32501</v>
      </c>
      <c r="C10" s="170"/>
      <c r="D10" s="63" t="s">
        <v>26</v>
      </c>
      <c r="E10" s="45"/>
      <c r="F10" s="45">
        <v>100000</v>
      </c>
      <c r="G10" s="45">
        <v>12293.65</v>
      </c>
      <c r="H10" s="45"/>
      <c r="I10" s="45">
        <v>40000</v>
      </c>
      <c r="J10" s="45"/>
      <c r="K10" s="45"/>
      <c r="L10" s="45"/>
      <c r="M10" s="45"/>
      <c r="N10" s="45"/>
      <c r="O10" s="45"/>
      <c r="P10" s="45"/>
      <c r="Q10" s="45">
        <f t="shared" si="0"/>
        <v>152293.65</v>
      </c>
      <c r="R10" s="5"/>
      <c r="S10" s="5"/>
    </row>
    <row r="11" spans="2:19" ht="22.5">
      <c r="B11" s="169">
        <v>37501</v>
      </c>
      <c r="C11" s="170"/>
      <c r="D11" s="63" t="s">
        <v>27</v>
      </c>
      <c r="E11" s="45"/>
      <c r="F11" s="45">
        <v>5000</v>
      </c>
      <c r="G11" s="45">
        <v>18000</v>
      </c>
      <c r="H11" s="45"/>
      <c r="I11" s="45"/>
      <c r="J11" s="45"/>
      <c r="K11" s="45"/>
      <c r="L11" s="45"/>
      <c r="M11" s="45"/>
      <c r="N11" s="45"/>
      <c r="O11" s="45"/>
      <c r="P11" s="45"/>
      <c r="Q11" s="45">
        <f t="shared" si="0"/>
        <v>23000</v>
      </c>
      <c r="R11" s="5"/>
      <c r="S11" s="5"/>
    </row>
    <row r="12" spans="2:19" ht="22.5">
      <c r="B12" s="169">
        <v>33601</v>
      </c>
      <c r="C12" s="170"/>
      <c r="D12" s="63" t="s">
        <v>28</v>
      </c>
      <c r="E12" s="45"/>
      <c r="F12" s="45">
        <v>8000</v>
      </c>
      <c r="G12" s="45"/>
      <c r="H12" s="45"/>
      <c r="I12" s="45">
        <v>5490.51</v>
      </c>
      <c r="J12" s="45"/>
      <c r="K12" s="45"/>
      <c r="L12" s="45"/>
      <c r="M12" s="45"/>
      <c r="N12" s="45"/>
      <c r="O12" s="45"/>
      <c r="P12" s="45"/>
      <c r="Q12" s="45">
        <f t="shared" si="0"/>
        <v>13490.51</v>
      </c>
      <c r="R12" s="5"/>
      <c r="S12" s="5"/>
    </row>
    <row r="13" spans="2:19">
      <c r="B13" s="169">
        <v>39903</v>
      </c>
      <c r="C13" s="170"/>
      <c r="D13" s="63" t="s">
        <v>29</v>
      </c>
      <c r="E13" s="45"/>
      <c r="F13" s="45">
        <v>3000</v>
      </c>
      <c r="G13" s="45"/>
      <c r="H13" s="45"/>
      <c r="I13" s="45">
        <f>54509-10000+0.49</f>
        <v>44509.49</v>
      </c>
      <c r="J13" s="45"/>
      <c r="K13" s="45"/>
      <c r="L13" s="45">
        <v>12433.44</v>
      </c>
      <c r="M13" s="45"/>
      <c r="N13" s="45"/>
      <c r="O13" s="45"/>
      <c r="P13" s="45"/>
      <c r="Q13" s="45">
        <f t="shared" si="0"/>
        <v>59942.93</v>
      </c>
      <c r="R13" s="5"/>
      <c r="S13" s="5"/>
    </row>
    <row r="14" spans="2:19">
      <c r="B14" s="169">
        <v>32901</v>
      </c>
      <c r="C14" s="170"/>
      <c r="D14" s="63" t="s">
        <v>25</v>
      </c>
      <c r="E14" s="45"/>
      <c r="F14" s="45">
        <v>11566.56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>
        <f t="shared" si="0"/>
        <v>11566.56</v>
      </c>
      <c r="R14" s="5"/>
      <c r="S14" s="5"/>
    </row>
    <row r="15" spans="2:19" ht="22.5">
      <c r="B15" s="169">
        <v>44201</v>
      </c>
      <c r="C15" s="170"/>
      <c r="D15" s="63" t="s">
        <v>78</v>
      </c>
      <c r="E15" s="45">
        <v>100000</v>
      </c>
      <c r="F15" s="45">
        <v>100000</v>
      </c>
      <c r="G15" s="45">
        <v>100000</v>
      </c>
      <c r="H15" s="45">
        <v>100000</v>
      </c>
      <c r="I15" s="45">
        <v>100000</v>
      </c>
      <c r="J15" s="45">
        <v>100000</v>
      </c>
      <c r="K15" s="45">
        <v>100000</v>
      </c>
      <c r="L15" s="45">
        <v>100000</v>
      </c>
      <c r="M15" s="45">
        <v>100000</v>
      </c>
      <c r="N15" s="45">
        <v>100000</v>
      </c>
      <c r="O15" s="45">
        <v>100000</v>
      </c>
      <c r="P15" s="45">
        <v>100000</v>
      </c>
      <c r="Q15" s="45">
        <f>SUM(E15:P15)</f>
        <v>1200000</v>
      </c>
      <c r="R15" s="5"/>
      <c r="S15" s="5"/>
    </row>
    <row r="16" spans="2:19">
      <c r="B16" s="169">
        <v>39903</v>
      </c>
      <c r="C16" s="170"/>
      <c r="D16" s="63" t="s">
        <v>29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5"/>
      <c r="S16" s="5"/>
    </row>
    <row r="17" spans="5:17">
      <c r="E17" s="45">
        <f>SUM(E8:E16)</f>
        <v>100000</v>
      </c>
      <c r="F17" s="45">
        <f t="shared" ref="F17:Q17" si="1">SUM(F8:F16)</f>
        <v>277566.56</v>
      </c>
      <c r="G17" s="45">
        <f t="shared" si="1"/>
        <v>200000</v>
      </c>
      <c r="H17" s="45">
        <f t="shared" si="1"/>
        <v>100000</v>
      </c>
      <c r="I17" s="45">
        <f t="shared" si="1"/>
        <v>190000</v>
      </c>
      <c r="J17" s="45">
        <f t="shared" si="1"/>
        <v>100000</v>
      </c>
      <c r="K17" s="45">
        <f t="shared" si="1"/>
        <v>100000</v>
      </c>
      <c r="L17" s="45">
        <f t="shared" si="1"/>
        <v>272433.44</v>
      </c>
      <c r="M17" s="45">
        <f t="shared" si="1"/>
        <v>100000</v>
      </c>
      <c r="N17" s="45">
        <f t="shared" si="1"/>
        <v>100000</v>
      </c>
      <c r="O17" s="45">
        <f t="shared" si="1"/>
        <v>100000</v>
      </c>
      <c r="P17" s="45">
        <f t="shared" si="1"/>
        <v>100000</v>
      </c>
      <c r="Q17" s="45">
        <f t="shared" si="1"/>
        <v>1740000</v>
      </c>
    </row>
    <row r="18" spans="5:17">
      <c r="E18" s="86"/>
    </row>
    <row r="19" spans="5:17">
      <c r="E19" s="86"/>
      <c r="O19" s="155"/>
      <c r="Q19" s="86"/>
    </row>
    <row r="20" spans="5:17">
      <c r="O20" s="155"/>
    </row>
    <row r="21" spans="5:17">
      <c r="O21" s="156"/>
    </row>
  </sheetData>
  <mergeCells count="14">
    <mergeCell ref="B16:C16"/>
    <mergeCell ref="B10:C10"/>
    <mergeCell ref="B14:C14"/>
    <mergeCell ref="B6:C6"/>
    <mergeCell ref="B7:D7"/>
    <mergeCell ref="B8:C8"/>
    <mergeCell ref="B9:C9"/>
    <mergeCell ref="B15:C15"/>
    <mergeCell ref="E1:H1"/>
    <mergeCell ref="B5:D5"/>
    <mergeCell ref="B11:C11"/>
    <mergeCell ref="B12:C12"/>
    <mergeCell ref="B13:C13"/>
    <mergeCell ref="B1:D1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Q27"/>
  <sheetViews>
    <sheetView showWhiteSpace="0" zoomScaleSheetLayoutView="100" workbookViewId="0">
      <selection activeCell="A29" sqref="A29"/>
    </sheetView>
  </sheetViews>
  <sheetFormatPr baseColWidth="10" defaultColWidth="11.42578125" defaultRowHeight="15"/>
  <cols>
    <col min="1" max="1" width="2.85546875" customWidth="1"/>
    <col min="2" max="2" width="10.140625" customWidth="1"/>
    <col min="3" max="3" width="29.7109375" customWidth="1"/>
    <col min="4" max="5" width="11.5703125" bestFit="1" customWidth="1"/>
    <col min="6" max="6" width="13.140625" bestFit="1" customWidth="1"/>
    <col min="7" max="7" width="13.85546875" bestFit="1" customWidth="1"/>
    <col min="8" max="8" width="14.5703125" bestFit="1" customWidth="1"/>
    <col min="9" max="9" width="14.140625" bestFit="1" customWidth="1"/>
    <col min="10" max="11" width="11.5703125" bestFit="1" customWidth="1"/>
    <col min="12" max="13" width="10.85546875" customWidth="1"/>
    <col min="14" max="14" width="10.7109375" bestFit="1" customWidth="1"/>
    <col min="15" max="15" width="10.42578125" customWidth="1"/>
    <col min="16" max="17" width="13.140625" bestFit="1" customWidth="1"/>
  </cols>
  <sheetData>
    <row r="1" spans="2:17" ht="26.25" customHeight="1">
      <c r="B1" s="177" t="s">
        <v>0</v>
      </c>
      <c r="C1" s="177"/>
      <c r="D1" s="177" t="s">
        <v>22</v>
      </c>
      <c r="E1" s="177"/>
      <c r="F1" s="177"/>
      <c r="G1" s="177"/>
      <c r="H1" s="176">
        <f>+P14</f>
        <v>1800000</v>
      </c>
      <c r="I1" s="176"/>
      <c r="J1" s="5"/>
      <c r="K1" s="5"/>
      <c r="L1" s="5"/>
    </row>
    <row r="2" spans="2:17">
      <c r="B2" s="178"/>
      <c r="C2" s="179"/>
      <c r="E2" s="5"/>
      <c r="F2" s="5"/>
      <c r="J2" s="5"/>
      <c r="K2" s="5"/>
      <c r="L2" s="5"/>
    </row>
    <row r="3" spans="2:17">
      <c r="B3" s="102" t="s">
        <v>4</v>
      </c>
      <c r="C3" s="5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 t="s">
        <v>17</v>
      </c>
      <c r="P3" s="69">
        <f>SUM(D3:O3)</f>
        <v>0</v>
      </c>
    </row>
    <row r="4" spans="2:17" ht="15" customHeight="1">
      <c r="B4" s="105">
        <v>37501</v>
      </c>
      <c r="C4" s="130" t="s">
        <v>77</v>
      </c>
      <c r="D4" s="125">
        <v>15000</v>
      </c>
      <c r="E4" s="125"/>
      <c r="F4" s="125">
        <v>50000</v>
      </c>
      <c r="G4" s="125"/>
      <c r="H4" s="125"/>
      <c r="I4" s="125"/>
      <c r="J4" s="125"/>
      <c r="K4" s="125"/>
      <c r="L4" s="125"/>
      <c r="M4" s="125"/>
      <c r="N4" s="125"/>
      <c r="O4" s="125"/>
      <c r="P4" s="126">
        <f t="shared" ref="P4:P13" si="0">SUM(D4:O4)</f>
        <v>65000</v>
      </c>
    </row>
    <row r="5" spans="2:17" ht="15" customHeight="1">
      <c r="B5" s="103">
        <v>37101</v>
      </c>
      <c r="C5" s="61" t="s">
        <v>21</v>
      </c>
      <c r="D5" s="125"/>
      <c r="E5" s="125">
        <v>100000</v>
      </c>
      <c r="F5" s="125">
        <v>50000</v>
      </c>
      <c r="G5" s="125"/>
      <c r="H5" s="125"/>
      <c r="I5" s="125"/>
      <c r="J5" s="125"/>
      <c r="K5" s="125"/>
      <c r="L5" s="125"/>
      <c r="M5" s="125"/>
      <c r="N5" s="125"/>
      <c r="O5" s="125"/>
      <c r="P5" s="126">
        <f t="shared" si="0"/>
        <v>150000</v>
      </c>
      <c r="Q5" s="124"/>
    </row>
    <row r="6" spans="2:17" ht="15" customHeight="1">
      <c r="B6" s="103">
        <v>37201</v>
      </c>
      <c r="C6" s="61" t="s">
        <v>103</v>
      </c>
      <c r="D6" s="125">
        <v>4600</v>
      </c>
      <c r="E6" s="125"/>
      <c r="F6" s="125">
        <f>21520+400</f>
        <v>21920</v>
      </c>
      <c r="G6" s="125">
        <v>75000</v>
      </c>
      <c r="H6" s="125">
        <v>85000</v>
      </c>
      <c r="I6" s="125"/>
      <c r="J6" s="125"/>
      <c r="K6" s="125"/>
      <c r="L6" s="125"/>
      <c r="M6" s="125"/>
      <c r="N6" s="125"/>
      <c r="O6" s="125"/>
      <c r="P6" s="126">
        <f t="shared" si="0"/>
        <v>186520</v>
      </c>
      <c r="Q6" s="124"/>
    </row>
    <row r="7" spans="2:17" ht="15.75" customHeight="1">
      <c r="B7" s="103">
        <v>32501</v>
      </c>
      <c r="C7" s="61" t="s">
        <v>19</v>
      </c>
      <c r="D7" s="125">
        <v>44000</v>
      </c>
      <c r="E7" s="125"/>
      <c r="F7" s="125">
        <v>88000</v>
      </c>
      <c r="G7" s="125">
        <v>57000</v>
      </c>
      <c r="H7" s="125"/>
      <c r="I7" s="125"/>
      <c r="J7" s="125"/>
      <c r="K7" s="125"/>
      <c r="L7" s="125"/>
      <c r="M7" s="125"/>
      <c r="N7" s="125"/>
      <c r="O7" s="125"/>
      <c r="P7" s="126">
        <f t="shared" si="0"/>
        <v>189000</v>
      </c>
      <c r="Q7" s="86"/>
    </row>
    <row r="8" spans="2:17" ht="38.25" customHeight="1">
      <c r="B8" s="103">
        <v>32901</v>
      </c>
      <c r="C8" s="66" t="s">
        <v>23</v>
      </c>
      <c r="D8" s="125"/>
      <c r="E8" s="125"/>
      <c r="F8" s="125">
        <v>29100</v>
      </c>
      <c r="G8" s="125">
        <v>18250</v>
      </c>
      <c r="H8" s="125"/>
      <c r="I8" s="125"/>
      <c r="J8" s="125"/>
      <c r="K8" s="125"/>
      <c r="L8" s="125"/>
      <c r="M8" s="125"/>
      <c r="N8" s="125"/>
      <c r="O8" s="125"/>
      <c r="P8" s="126">
        <f t="shared" si="0"/>
        <v>47350</v>
      </c>
    </row>
    <row r="9" spans="2:17">
      <c r="B9" s="103">
        <v>27301</v>
      </c>
      <c r="C9" s="68" t="s">
        <v>24</v>
      </c>
      <c r="D9" s="127">
        <v>5000</v>
      </c>
      <c r="E9" s="127">
        <v>34000</v>
      </c>
      <c r="F9" s="127">
        <v>51000</v>
      </c>
      <c r="G9" s="127"/>
      <c r="H9" s="127"/>
      <c r="I9" s="127"/>
      <c r="J9" s="127"/>
      <c r="K9" s="127"/>
      <c r="L9" s="127"/>
      <c r="M9" s="127"/>
      <c r="N9" s="127"/>
      <c r="O9" s="127"/>
      <c r="P9" s="126">
        <f t="shared" si="0"/>
        <v>90000</v>
      </c>
    </row>
    <row r="10" spans="2:17">
      <c r="B10" s="103">
        <v>27103</v>
      </c>
      <c r="C10" s="68" t="s">
        <v>18</v>
      </c>
      <c r="D10" s="127">
        <v>35000</v>
      </c>
      <c r="E10" s="127">
        <v>15000</v>
      </c>
      <c r="F10" s="127">
        <v>25000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6">
        <f t="shared" si="0"/>
        <v>75000</v>
      </c>
    </row>
    <row r="11" spans="2:17">
      <c r="B11" s="104">
        <v>44203</v>
      </c>
      <c r="C11" s="129" t="s">
        <v>107</v>
      </c>
      <c r="D11" s="127"/>
      <c r="E11" s="127"/>
      <c r="F11" s="127"/>
      <c r="G11" s="127"/>
      <c r="H11" s="127"/>
      <c r="I11" s="127"/>
      <c r="J11" s="127"/>
      <c r="K11" s="127">
        <v>200000</v>
      </c>
      <c r="L11" s="127"/>
      <c r="M11" s="127"/>
      <c r="N11" s="127"/>
      <c r="O11" s="127"/>
      <c r="P11" s="126">
        <f t="shared" si="0"/>
        <v>200000</v>
      </c>
    </row>
    <row r="12" spans="2:17" ht="22.5">
      <c r="B12" s="104">
        <v>44204</v>
      </c>
      <c r="C12" s="128" t="s">
        <v>30</v>
      </c>
      <c r="D12" s="127">
        <v>53400</v>
      </c>
      <c r="E12" s="127">
        <v>53400</v>
      </c>
      <c r="F12" s="127">
        <v>53400</v>
      </c>
      <c r="G12" s="127">
        <v>53400</v>
      </c>
      <c r="H12" s="127">
        <v>53400</v>
      </c>
      <c r="I12" s="127">
        <v>68000</v>
      </c>
      <c r="J12" s="127">
        <v>68000</v>
      </c>
      <c r="K12" s="127">
        <v>68000</v>
      </c>
      <c r="L12" s="127">
        <v>68000</v>
      </c>
      <c r="M12" s="127">
        <v>68000</v>
      </c>
      <c r="N12" s="127">
        <v>68000</v>
      </c>
      <c r="O12" s="127">
        <v>68000</v>
      </c>
      <c r="P12" s="126">
        <f t="shared" si="0"/>
        <v>743000</v>
      </c>
    </row>
    <row r="13" spans="2:17" ht="25.5">
      <c r="B13" s="104">
        <v>39903</v>
      </c>
      <c r="C13" s="94" t="s">
        <v>74</v>
      </c>
      <c r="D13" s="127">
        <v>19500</v>
      </c>
      <c r="E13" s="127"/>
      <c r="F13" s="127"/>
      <c r="G13" s="127">
        <v>18630</v>
      </c>
      <c r="H13" s="127"/>
      <c r="I13" s="127">
        <v>16000</v>
      </c>
      <c r="J13" s="127"/>
      <c r="K13" s="127"/>
      <c r="L13" s="127"/>
      <c r="M13" s="127"/>
      <c r="N13" s="127"/>
      <c r="O13" s="127"/>
      <c r="P13" s="126">
        <f t="shared" si="0"/>
        <v>54130</v>
      </c>
    </row>
    <row r="14" spans="2:17">
      <c r="D14" s="24">
        <f t="shared" ref="D14:P14" si="1">SUM(D4:D13)</f>
        <v>176500</v>
      </c>
      <c r="E14" s="24">
        <f t="shared" si="1"/>
        <v>202400</v>
      </c>
      <c r="F14" s="24">
        <f t="shared" si="1"/>
        <v>368420</v>
      </c>
      <c r="G14" s="24">
        <f t="shared" si="1"/>
        <v>222280</v>
      </c>
      <c r="H14" s="24">
        <f t="shared" si="1"/>
        <v>138400</v>
      </c>
      <c r="I14" s="24">
        <f t="shared" si="1"/>
        <v>84000</v>
      </c>
      <c r="J14" s="24">
        <f t="shared" si="1"/>
        <v>68000</v>
      </c>
      <c r="K14" s="24">
        <f t="shared" si="1"/>
        <v>268000</v>
      </c>
      <c r="L14" s="24">
        <f t="shared" si="1"/>
        <v>68000</v>
      </c>
      <c r="M14" s="24">
        <f t="shared" si="1"/>
        <v>68000</v>
      </c>
      <c r="N14" s="24">
        <f t="shared" si="1"/>
        <v>68000</v>
      </c>
      <c r="O14" s="24">
        <f t="shared" si="1"/>
        <v>68000</v>
      </c>
      <c r="P14" s="24">
        <f t="shared" si="1"/>
        <v>1800000</v>
      </c>
    </row>
    <row r="16" spans="2:17" hidden="1">
      <c r="P16" s="86">
        <f>+H1-P14</f>
        <v>0</v>
      </c>
    </row>
    <row r="17" spans="4:16" hidden="1"/>
    <row r="18" spans="4:16" hidden="1">
      <c r="E18" s="124"/>
    </row>
    <row r="19" spans="4:16" hidden="1">
      <c r="D19" t="s">
        <v>104</v>
      </c>
      <c r="E19" s="124">
        <v>588550</v>
      </c>
      <c r="F19" s="124">
        <v>758640</v>
      </c>
      <c r="G19" s="124">
        <v>2174123.2000000002</v>
      </c>
      <c r="H19" s="124"/>
      <c r="I19" s="124"/>
      <c r="J19" s="124"/>
    </row>
    <row r="20" spans="4:16" hidden="1">
      <c r="D20" t="s">
        <v>105</v>
      </c>
      <c r="E20" s="124">
        <v>144392</v>
      </c>
      <c r="F20" s="124">
        <v>293433</v>
      </c>
      <c r="G20" s="124">
        <f>G19*1.3</f>
        <v>2826360.16</v>
      </c>
      <c r="H20" s="124"/>
      <c r="I20" s="124"/>
      <c r="J20" s="124"/>
    </row>
    <row r="21" spans="4:16" hidden="1">
      <c r="D21" t="s">
        <v>106</v>
      </c>
      <c r="E21" s="124">
        <v>186640</v>
      </c>
      <c r="F21" s="124">
        <v>196040</v>
      </c>
      <c r="G21" s="124"/>
      <c r="H21" s="124"/>
      <c r="I21" s="124"/>
      <c r="J21" s="124"/>
    </row>
    <row r="22" spans="4:16" hidden="1">
      <c r="E22" s="124"/>
      <c r="F22" s="124"/>
      <c r="G22" s="124"/>
      <c r="H22" s="124"/>
      <c r="I22" s="124"/>
      <c r="J22" s="124"/>
    </row>
    <row r="23" spans="4:16" hidden="1">
      <c r="E23" s="124">
        <f>+E19+E20+E21</f>
        <v>919582</v>
      </c>
      <c r="F23" s="124">
        <f>+F19+F20+F21</f>
        <v>1248113</v>
      </c>
    </row>
    <row r="24" spans="4:16" hidden="1">
      <c r="E24" s="124"/>
    </row>
    <row r="25" spans="4:16" hidden="1">
      <c r="E25" s="124"/>
    </row>
    <row r="26" spans="4:16">
      <c r="I26" s="85"/>
      <c r="P26" s="145"/>
    </row>
    <row r="27" spans="4:16">
      <c r="P27" s="86"/>
    </row>
  </sheetData>
  <mergeCells count="4">
    <mergeCell ref="H1:I1"/>
    <mergeCell ref="B1:C1"/>
    <mergeCell ref="D1:G1"/>
    <mergeCell ref="B2:C2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Q76"/>
  <sheetViews>
    <sheetView showWhiteSpace="0" zoomScaleNormal="100" zoomScaleSheetLayoutView="100" workbookViewId="0">
      <selection activeCell="A80" sqref="A80"/>
    </sheetView>
  </sheetViews>
  <sheetFormatPr baseColWidth="10" defaultColWidth="11.42578125" defaultRowHeight="15"/>
  <cols>
    <col min="1" max="1" width="2.85546875" customWidth="1"/>
    <col min="2" max="2" width="7.7109375" customWidth="1"/>
    <col min="3" max="3" width="0.140625" customWidth="1"/>
    <col min="4" max="4" width="36.42578125" customWidth="1"/>
    <col min="5" max="5" width="13" bestFit="1" customWidth="1"/>
    <col min="6" max="6" width="13.140625" bestFit="1" customWidth="1"/>
    <col min="7" max="7" width="15.28515625" bestFit="1" customWidth="1"/>
    <col min="8" max="8" width="12.140625" bestFit="1" customWidth="1"/>
    <col min="9" max="9" width="18.28515625" customWidth="1"/>
    <col min="10" max="11" width="13.28515625" bestFit="1" customWidth="1"/>
    <col min="12" max="12" width="12.140625" bestFit="1" customWidth="1"/>
    <col min="13" max="13" width="13.28515625" bestFit="1" customWidth="1"/>
    <col min="14" max="16" width="12.140625" bestFit="1" customWidth="1"/>
    <col min="17" max="17" width="14.7109375" bestFit="1" customWidth="1"/>
  </cols>
  <sheetData>
    <row r="1" spans="2:17" ht="43.5" customHeight="1">
      <c r="B1" s="185" t="s">
        <v>0</v>
      </c>
      <c r="C1" s="185"/>
      <c r="D1" s="185"/>
      <c r="E1" s="186" t="s">
        <v>102</v>
      </c>
      <c r="F1" s="186"/>
      <c r="G1" s="186"/>
      <c r="H1" s="186"/>
      <c r="I1" s="123">
        <f>+Q11</f>
        <v>190000</v>
      </c>
      <c r="K1" s="5"/>
      <c r="L1" s="5"/>
      <c r="M1" s="5"/>
    </row>
    <row r="2" spans="2:17">
      <c r="B2" s="187"/>
      <c r="C2" s="188"/>
      <c r="D2" s="189"/>
      <c r="F2" s="5"/>
      <c r="G2" s="5"/>
      <c r="K2" s="5"/>
      <c r="L2" s="5"/>
      <c r="M2" s="5"/>
    </row>
    <row r="3" spans="2:17">
      <c r="B3" s="190" t="s">
        <v>4</v>
      </c>
      <c r="C3" s="191"/>
      <c r="D3" s="122" t="s">
        <v>5</v>
      </c>
      <c r="E3" s="71" t="s">
        <v>6</v>
      </c>
      <c r="F3" s="70" t="s">
        <v>7</v>
      </c>
      <c r="G3" s="70" t="s">
        <v>8</v>
      </c>
      <c r="H3" s="70" t="s">
        <v>9</v>
      </c>
      <c r="I3" s="70" t="s">
        <v>10</v>
      </c>
      <c r="J3" s="70" t="s">
        <v>11</v>
      </c>
      <c r="K3" s="70" t="s">
        <v>12</v>
      </c>
      <c r="L3" s="70" t="s">
        <v>13</v>
      </c>
      <c r="M3" s="70" t="s">
        <v>14</v>
      </c>
      <c r="N3" s="70" t="s">
        <v>15</v>
      </c>
      <c r="O3" s="70" t="s">
        <v>16</v>
      </c>
      <c r="P3" s="72" t="s">
        <v>17</v>
      </c>
      <c r="Q3" s="70" t="s">
        <v>36</v>
      </c>
    </row>
    <row r="4" spans="2:17">
      <c r="B4" s="180">
        <v>39903</v>
      </c>
      <c r="C4" s="180"/>
      <c r="D4" s="129" t="s">
        <v>74</v>
      </c>
      <c r="E4" s="23">
        <v>3000</v>
      </c>
      <c r="F4" s="23">
        <v>15000</v>
      </c>
      <c r="G4" s="23"/>
      <c r="H4" s="23"/>
      <c r="I4" s="23"/>
      <c r="J4" s="23">
        <v>3000</v>
      </c>
      <c r="K4" s="23"/>
      <c r="L4" s="23"/>
      <c r="M4" s="23"/>
      <c r="N4" s="23"/>
      <c r="O4" s="23"/>
      <c r="P4" s="23"/>
      <c r="Q4" s="3">
        <f t="shared" ref="Q4:Q10" si="0">SUM(E4:P4)</f>
        <v>21000</v>
      </c>
    </row>
    <row r="5" spans="2:17">
      <c r="B5" s="181">
        <v>27103</v>
      </c>
      <c r="C5" s="181"/>
      <c r="D5" s="67" t="s">
        <v>18</v>
      </c>
      <c r="E5" s="23"/>
      <c r="F5" s="23">
        <v>5000</v>
      </c>
      <c r="G5" s="23"/>
      <c r="H5" s="23"/>
      <c r="I5" s="23"/>
      <c r="J5" s="23">
        <v>5000</v>
      </c>
      <c r="K5" s="23"/>
      <c r="L5" s="23"/>
      <c r="M5" s="23"/>
      <c r="N5" s="23"/>
      <c r="O5" s="23"/>
      <c r="P5" s="23"/>
      <c r="Q5" s="3">
        <f t="shared" si="0"/>
        <v>10000</v>
      </c>
    </row>
    <row r="6" spans="2:17">
      <c r="B6" s="181">
        <v>32501</v>
      </c>
      <c r="C6" s="181"/>
      <c r="D6" s="68" t="s">
        <v>19</v>
      </c>
      <c r="E6" s="26"/>
      <c r="F6" s="23">
        <v>7500</v>
      </c>
      <c r="G6" s="23"/>
      <c r="H6" s="23"/>
      <c r="I6" s="23">
        <v>8120</v>
      </c>
      <c r="J6" s="23"/>
      <c r="K6" s="23">
        <f>6960*2</f>
        <v>13920</v>
      </c>
      <c r="L6" s="23"/>
      <c r="M6" s="23"/>
      <c r="N6" s="23"/>
      <c r="O6" s="23"/>
      <c r="P6" s="23"/>
      <c r="Q6" s="3">
        <f t="shared" si="0"/>
        <v>29540</v>
      </c>
    </row>
    <row r="7" spans="2:17" ht="15" customHeight="1">
      <c r="B7" s="181">
        <v>37501</v>
      </c>
      <c r="C7" s="181"/>
      <c r="D7" s="66" t="s">
        <v>77</v>
      </c>
      <c r="E7" s="26"/>
      <c r="F7" s="23">
        <v>1500</v>
      </c>
      <c r="G7" s="23"/>
      <c r="H7" s="23">
        <v>2000</v>
      </c>
      <c r="I7" s="23"/>
      <c r="J7" s="23"/>
      <c r="K7" s="23"/>
      <c r="L7" s="23"/>
      <c r="M7" s="23"/>
      <c r="N7" s="23"/>
      <c r="O7" s="23"/>
      <c r="P7" s="23"/>
      <c r="Q7" s="3">
        <f t="shared" si="0"/>
        <v>3500</v>
      </c>
    </row>
    <row r="8" spans="2:17">
      <c r="B8" s="181">
        <v>43901</v>
      </c>
      <c r="C8" s="181"/>
      <c r="D8" s="68" t="s">
        <v>20</v>
      </c>
      <c r="E8" s="23">
        <f>4171.18*2</f>
        <v>8342.36</v>
      </c>
      <c r="F8" s="23">
        <f t="shared" ref="F8:P8" si="1">4171.18*2</f>
        <v>8342.36</v>
      </c>
      <c r="G8" s="23">
        <f t="shared" si="1"/>
        <v>8342.36</v>
      </c>
      <c r="H8" s="23">
        <f t="shared" si="1"/>
        <v>8342.36</v>
      </c>
      <c r="I8" s="23">
        <f t="shared" si="1"/>
        <v>8342.36</v>
      </c>
      <c r="J8" s="23">
        <f t="shared" si="1"/>
        <v>8342.36</v>
      </c>
      <c r="K8" s="23">
        <f t="shared" si="1"/>
        <v>8342.36</v>
      </c>
      <c r="L8" s="23">
        <f t="shared" si="1"/>
        <v>8342.36</v>
      </c>
      <c r="M8" s="23">
        <f t="shared" si="1"/>
        <v>8342.36</v>
      </c>
      <c r="N8" s="23">
        <f t="shared" si="1"/>
        <v>8342.36</v>
      </c>
      <c r="O8" s="23">
        <f t="shared" si="1"/>
        <v>8342.36</v>
      </c>
      <c r="P8" s="23">
        <f t="shared" si="1"/>
        <v>8342.36</v>
      </c>
      <c r="Q8" s="3">
        <f t="shared" si="0"/>
        <v>100108.32</v>
      </c>
    </row>
    <row r="9" spans="2:17">
      <c r="B9" s="104">
        <v>37201</v>
      </c>
      <c r="C9" s="68"/>
      <c r="D9" s="68" t="s">
        <v>76</v>
      </c>
      <c r="E9" s="23"/>
      <c r="F9" s="23">
        <v>5851.68</v>
      </c>
      <c r="G9" s="23"/>
      <c r="H9" s="23"/>
      <c r="I9" s="23">
        <v>2000</v>
      </c>
      <c r="J9" s="23"/>
      <c r="K9" s="23"/>
      <c r="L9" s="23"/>
      <c r="M9" s="23"/>
      <c r="N9" s="23"/>
      <c r="O9" s="23"/>
      <c r="P9" s="23"/>
      <c r="Q9" s="3">
        <f t="shared" si="0"/>
        <v>7851.68</v>
      </c>
    </row>
    <row r="10" spans="2:17">
      <c r="B10" s="104">
        <v>37101</v>
      </c>
      <c r="C10" s="68"/>
      <c r="D10" s="68" t="s">
        <v>21</v>
      </c>
      <c r="E10" s="23"/>
      <c r="F10" s="23">
        <v>18000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3">
        <f t="shared" si="0"/>
        <v>18000</v>
      </c>
    </row>
    <row r="11" spans="2:17">
      <c r="B11" s="182" t="s">
        <v>36</v>
      </c>
      <c r="C11" s="183"/>
      <c r="D11" s="184"/>
      <c r="E11" s="2">
        <f>SUM(E4:E10)</f>
        <v>11342.36</v>
      </c>
      <c r="F11" s="2">
        <f t="shared" ref="F11:P11" si="2">SUM(F4:F10)</f>
        <v>61194.04</v>
      </c>
      <c r="G11" s="2">
        <f t="shared" si="2"/>
        <v>8342.36</v>
      </c>
      <c r="H11" s="2">
        <f t="shared" si="2"/>
        <v>10342.36</v>
      </c>
      <c r="I11" s="2">
        <f t="shared" si="2"/>
        <v>18462.36</v>
      </c>
      <c r="J11" s="2">
        <f t="shared" si="2"/>
        <v>16342.36</v>
      </c>
      <c r="K11" s="2">
        <f t="shared" si="2"/>
        <v>22262.36</v>
      </c>
      <c r="L11" s="2">
        <f t="shared" si="2"/>
        <v>8342.36</v>
      </c>
      <c r="M11" s="2">
        <f t="shared" si="2"/>
        <v>8342.36</v>
      </c>
      <c r="N11" s="2">
        <f t="shared" si="2"/>
        <v>8342.36</v>
      </c>
      <c r="O11" s="2">
        <f t="shared" si="2"/>
        <v>8342.36</v>
      </c>
      <c r="P11" s="2">
        <f t="shared" si="2"/>
        <v>8342.36</v>
      </c>
      <c r="Q11" s="2">
        <f>SUM(Q4:Q10)</f>
        <v>190000</v>
      </c>
    </row>
    <row r="12" spans="2:17">
      <c r="Q12" s="42"/>
    </row>
    <row r="13" spans="2:17" hidden="1">
      <c r="D13">
        <f>49880*1.16</f>
        <v>57860.799999999996</v>
      </c>
      <c r="I13" t="s">
        <v>91</v>
      </c>
    </row>
    <row r="14" spans="2:17" hidden="1">
      <c r="I14" s="112">
        <v>2600</v>
      </c>
      <c r="J14" s="113"/>
      <c r="K14" s="113">
        <f>I14*7</f>
        <v>18200</v>
      </c>
      <c r="L14" s="107" t="s">
        <v>88</v>
      </c>
      <c r="M14" s="86">
        <f>K14*5</f>
        <v>91000</v>
      </c>
    </row>
    <row r="15" spans="2:17" hidden="1">
      <c r="D15">
        <v>91000</v>
      </c>
      <c r="H15" t="s">
        <v>95</v>
      </c>
      <c r="I15" s="114">
        <v>1200</v>
      </c>
      <c r="J15" s="115">
        <f>I15*3</f>
        <v>3600</v>
      </c>
      <c r="K15" s="115">
        <f>J15*3</f>
        <v>10800</v>
      </c>
      <c r="L15" s="108" t="s">
        <v>89</v>
      </c>
      <c r="M15" t="s">
        <v>96</v>
      </c>
    </row>
    <row r="16" spans="2:17" hidden="1">
      <c r="D16">
        <f>D15/5</f>
        <v>18200</v>
      </c>
      <c r="I16" s="114">
        <f>200*3</f>
        <v>600</v>
      </c>
      <c r="J16" s="115">
        <f>I16*7*3</f>
        <v>12600</v>
      </c>
      <c r="K16" s="115">
        <v>12600</v>
      </c>
      <c r="L16" s="108" t="s">
        <v>90</v>
      </c>
    </row>
    <row r="17" spans="4:14" hidden="1">
      <c r="D17">
        <f>D16*2</f>
        <v>36400</v>
      </c>
      <c r="G17">
        <f>25*6000</f>
        <v>150000</v>
      </c>
      <c r="I17" s="114"/>
      <c r="J17" s="115"/>
      <c r="K17" s="115">
        <f>SUM(K14:K16)</f>
        <v>41600</v>
      </c>
      <c r="L17" s="108"/>
    </row>
    <row r="18" spans="4:14" hidden="1">
      <c r="E18">
        <f>208000/5</f>
        <v>41600</v>
      </c>
      <c r="I18" s="114"/>
      <c r="J18" s="115"/>
      <c r="K18" s="115">
        <f>K17*5</f>
        <v>208000</v>
      </c>
      <c r="L18" s="108" t="s">
        <v>93</v>
      </c>
    </row>
    <row r="19" spans="4:14" hidden="1">
      <c r="E19">
        <f>E18*2</f>
        <v>83200</v>
      </c>
      <c r="G19">
        <f>150*100</f>
        <v>15000</v>
      </c>
      <c r="I19" s="116"/>
      <c r="J19" s="117"/>
      <c r="K19" s="117"/>
      <c r="L19" s="111"/>
    </row>
    <row r="20" spans="4:14" hidden="1">
      <c r="D20">
        <f>1500*5</f>
        <v>7500</v>
      </c>
    </row>
    <row r="21" spans="4:14" hidden="1">
      <c r="D21">
        <f>D20*7</f>
        <v>52500</v>
      </c>
      <c r="I21" t="s">
        <v>92</v>
      </c>
    </row>
    <row r="22" spans="4:14" hidden="1">
      <c r="G22" s="86"/>
      <c r="I22" s="112">
        <v>6000</v>
      </c>
      <c r="J22" s="113"/>
      <c r="K22" s="113">
        <f>I22*30</f>
        <v>180000</v>
      </c>
      <c r="L22" s="107" t="s">
        <v>88</v>
      </c>
      <c r="M22" s="86"/>
    </row>
    <row r="23" spans="4:14" hidden="1">
      <c r="D23">
        <f>200*20</f>
        <v>4000</v>
      </c>
      <c r="F23">
        <v>30</v>
      </c>
      <c r="G23" s="86">
        <v>180000</v>
      </c>
      <c r="I23" s="114">
        <v>1500</v>
      </c>
      <c r="J23" s="115">
        <f>I23*3</f>
        <v>4500</v>
      </c>
      <c r="K23" s="115">
        <f>J23*8</f>
        <v>36000</v>
      </c>
      <c r="L23" s="108" t="s">
        <v>89</v>
      </c>
    </row>
    <row r="24" spans="4:14" hidden="1">
      <c r="D24">
        <f>D23*3</f>
        <v>12000</v>
      </c>
      <c r="F24">
        <v>27</v>
      </c>
      <c r="G24" s="86">
        <f>F24*G23/F23</f>
        <v>162000</v>
      </c>
      <c r="I24" s="114">
        <f>200*3</f>
        <v>600</v>
      </c>
      <c r="J24" s="115">
        <f>I24*7*3</f>
        <v>12600</v>
      </c>
      <c r="K24" s="115">
        <v>12600</v>
      </c>
      <c r="L24" s="108" t="s">
        <v>90</v>
      </c>
    </row>
    <row r="25" spans="4:14" hidden="1">
      <c r="D25">
        <f>D24*7</f>
        <v>84000</v>
      </c>
      <c r="G25" s="86">
        <f>+G23-G24</f>
        <v>18000</v>
      </c>
      <c r="I25" s="114"/>
      <c r="J25" s="115"/>
      <c r="K25" s="115">
        <f>SUM(K22:K24)</f>
        <v>228600</v>
      </c>
      <c r="L25" s="108"/>
      <c r="N25">
        <f>457200-20100</f>
        <v>437100</v>
      </c>
    </row>
    <row r="26" spans="4:14" hidden="1">
      <c r="I26" s="114"/>
      <c r="J26" s="115"/>
      <c r="K26" s="115">
        <f>K25*2</f>
        <v>457200</v>
      </c>
      <c r="L26" s="108" t="s">
        <v>97</v>
      </c>
    </row>
    <row r="27" spans="4:14" hidden="1">
      <c r="D27">
        <v>600</v>
      </c>
      <c r="I27" s="109"/>
      <c r="J27" s="110"/>
      <c r="K27" s="110"/>
      <c r="L27" s="111"/>
    </row>
    <row r="28" spans="4:14" hidden="1">
      <c r="D28">
        <f>D27*20</f>
        <v>12000</v>
      </c>
    </row>
    <row r="29" spans="4:14" hidden="1">
      <c r="D29">
        <f>D28*7</f>
        <v>84000</v>
      </c>
    </row>
    <row r="30" spans="4:14" hidden="1">
      <c r="I30" t="s">
        <v>94</v>
      </c>
    </row>
    <row r="31" spans="4:14" hidden="1">
      <c r="I31" s="112">
        <v>6000</v>
      </c>
      <c r="J31" s="113"/>
      <c r="K31" s="113">
        <f>I31*7</f>
        <v>42000</v>
      </c>
      <c r="L31" s="107" t="s">
        <v>88</v>
      </c>
      <c r="M31" s="86">
        <f>K31/7</f>
        <v>6000</v>
      </c>
    </row>
    <row r="32" spans="4:14" hidden="1">
      <c r="I32" s="114">
        <v>1200</v>
      </c>
      <c r="J32" s="115">
        <f>I32*3</f>
        <v>3600</v>
      </c>
      <c r="K32" s="115">
        <f>J32*3</f>
        <v>10800</v>
      </c>
      <c r="L32" s="108" t="s">
        <v>89</v>
      </c>
    </row>
    <row r="33" spans="5:12" hidden="1">
      <c r="I33" s="114">
        <f>200*3</f>
        <v>600</v>
      </c>
      <c r="J33" s="115">
        <f>I33*7*3</f>
        <v>12600</v>
      </c>
      <c r="K33" s="115">
        <v>12600</v>
      </c>
      <c r="L33" s="108" t="s">
        <v>90</v>
      </c>
    </row>
    <row r="34" spans="5:12" hidden="1">
      <c r="I34" s="114"/>
      <c r="J34" s="115"/>
      <c r="K34" s="115">
        <f>SUM(K31:K33)</f>
        <v>65400</v>
      </c>
      <c r="L34" s="108"/>
    </row>
    <row r="35" spans="5:12" hidden="1">
      <c r="E35">
        <f>6960</f>
        <v>6960</v>
      </c>
      <c r="I35" s="114"/>
      <c r="J35" s="115"/>
      <c r="K35" s="115"/>
      <c r="L35" s="108" t="s">
        <v>98</v>
      </c>
    </row>
    <row r="36" spans="5:12" hidden="1">
      <c r="I36" s="109"/>
      <c r="J36" s="110"/>
      <c r="K36" s="110"/>
      <c r="L36" s="111"/>
    </row>
    <row r="37" spans="5:12" hidden="1"/>
    <row r="38" spans="5:12" hidden="1">
      <c r="I38" t="s">
        <v>99</v>
      </c>
    </row>
    <row r="39" spans="5:12" hidden="1">
      <c r="I39" s="112">
        <v>40000</v>
      </c>
      <c r="J39" s="113"/>
      <c r="K39" s="113">
        <f>I39*1</f>
        <v>40000</v>
      </c>
      <c r="L39" s="107" t="s">
        <v>88</v>
      </c>
    </row>
    <row r="40" spans="5:12" hidden="1">
      <c r="I40" s="114">
        <v>2000</v>
      </c>
      <c r="J40" s="115">
        <f>I40*7</f>
        <v>14000</v>
      </c>
      <c r="K40" s="115">
        <f>J40*1</f>
        <v>14000</v>
      </c>
      <c r="L40" s="108" t="s">
        <v>89</v>
      </c>
    </row>
    <row r="41" spans="5:12" hidden="1">
      <c r="I41" s="114">
        <v>900</v>
      </c>
      <c r="J41" s="115">
        <f>I41*7*3</f>
        <v>18900</v>
      </c>
      <c r="K41" s="115">
        <f>+J41</f>
        <v>18900</v>
      </c>
      <c r="L41" s="108" t="s">
        <v>90</v>
      </c>
    </row>
    <row r="42" spans="5:12" hidden="1">
      <c r="I42" s="114"/>
      <c r="J42" s="115"/>
      <c r="K42" s="115">
        <f>SUM(K39:K41)</f>
        <v>72900</v>
      </c>
      <c r="L42" s="108"/>
    </row>
    <row r="43" spans="5:12" hidden="1">
      <c r="I43" s="114"/>
      <c r="J43" s="115"/>
      <c r="K43" s="115"/>
      <c r="L43" s="108" t="s">
        <v>98</v>
      </c>
    </row>
    <row r="44" spans="5:12" hidden="1">
      <c r="I44" s="109"/>
      <c r="J44" s="110"/>
      <c r="K44" s="110"/>
      <c r="L44" s="111"/>
    </row>
    <row r="45" spans="5:12" hidden="1"/>
    <row r="46" spans="5:12" hidden="1"/>
    <row r="47" spans="5:12" hidden="1">
      <c r="K47" s="86">
        <f>+K18+K26+K34+K42</f>
        <v>803500</v>
      </c>
    </row>
    <row r="48" spans="5:12" hidden="1">
      <c r="I48" t="s">
        <v>100</v>
      </c>
    </row>
    <row r="49" spans="7:12" hidden="1">
      <c r="I49" t="s">
        <v>91</v>
      </c>
    </row>
    <row r="50" spans="7:12" hidden="1">
      <c r="I50" s="112">
        <v>2600</v>
      </c>
      <c r="J50" s="113"/>
      <c r="K50" s="113">
        <f>I50*8</f>
        <v>20800</v>
      </c>
      <c r="L50" s="107" t="s">
        <v>88</v>
      </c>
    </row>
    <row r="51" spans="7:12" hidden="1">
      <c r="G51" s="86">
        <f>K50/3</f>
        <v>6933.333333333333</v>
      </c>
      <c r="I51" s="114">
        <v>1200</v>
      </c>
      <c r="J51" s="115">
        <f>I51*3</f>
        <v>3600</v>
      </c>
      <c r="K51" s="115">
        <f>J51*3</f>
        <v>10800</v>
      </c>
      <c r="L51" s="108" t="s">
        <v>89</v>
      </c>
    </row>
    <row r="52" spans="7:12" hidden="1">
      <c r="G52">
        <f>6950*3</f>
        <v>20850</v>
      </c>
      <c r="I52" s="114">
        <f>200*3</f>
        <v>600</v>
      </c>
      <c r="J52" s="115">
        <f>I52*3*8</f>
        <v>14400</v>
      </c>
      <c r="K52" s="115">
        <f>+J52</f>
        <v>14400</v>
      </c>
      <c r="L52" s="108" t="s">
        <v>90</v>
      </c>
    </row>
    <row r="53" spans="7:12" hidden="1">
      <c r="G53" s="86">
        <f>K54-G52</f>
        <v>117150</v>
      </c>
      <c r="I53" s="114"/>
      <c r="J53" s="115"/>
      <c r="K53" s="115">
        <f>SUM(K50:K52)</f>
        <v>46000</v>
      </c>
      <c r="L53" s="108"/>
    </row>
    <row r="54" spans="7:12" hidden="1">
      <c r="G54" s="86">
        <f>G53/3</f>
        <v>39050</v>
      </c>
      <c r="I54" s="114"/>
      <c r="J54" s="115"/>
      <c r="K54" s="115">
        <f>K53*3</f>
        <v>138000</v>
      </c>
      <c r="L54" s="108" t="s">
        <v>93</v>
      </c>
    </row>
    <row r="55" spans="7:12" hidden="1">
      <c r="I55" s="116"/>
      <c r="J55" s="117"/>
      <c r="K55" s="117"/>
      <c r="L55" s="111"/>
    </row>
    <row r="56" spans="7:12" hidden="1"/>
    <row r="57" spans="7:12" hidden="1"/>
    <row r="58" spans="7:12" hidden="1">
      <c r="I58" t="s">
        <v>101</v>
      </c>
    </row>
    <row r="59" spans="7:12" hidden="1">
      <c r="I59" s="112">
        <v>2600</v>
      </c>
      <c r="J59" s="113"/>
      <c r="K59" s="113">
        <f>I59*8</f>
        <v>20800</v>
      </c>
      <c r="L59" s="107" t="s">
        <v>88</v>
      </c>
    </row>
    <row r="60" spans="7:12" hidden="1">
      <c r="I60" s="114">
        <v>1200</v>
      </c>
      <c r="J60" s="115">
        <f>I60*3</f>
        <v>3600</v>
      </c>
      <c r="K60" s="115">
        <f>J60*3</f>
        <v>10800</v>
      </c>
      <c r="L60" s="108" t="s">
        <v>89</v>
      </c>
    </row>
    <row r="61" spans="7:12" hidden="1">
      <c r="I61" s="114">
        <f>200*3</f>
        <v>600</v>
      </c>
      <c r="J61" s="115">
        <f>I61*3*8</f>
        <v>14400</v>
      </c>
      <c r="K61" s="115">
        <f>+J61</f>
        <v>14400</v>
      </c>
      <c r="L61" s="108" t="s">
        <v>90</v>
      </c>
    </row>
    <row r="62" spans="7:12" hidden="1">
      <c r="I62" s="114"/>
      <c r="J62" s="115"/>
      <c r="K62" s="115">
        <f>SUM(K59:K61)</f>
        <v>46000</v>
      </c>
      <c r="L62" s="108"/>
    </row>
    <row r="63" spans="7:12" hidden="1">
      <c r="I63" s="114"/>
      <c r="J63" s="115"/>
      <c r="K63" s="115">
        <f>K62*3</f>
        <v>138000</v>
      </c>
      <c r="L63" s="108" t="s">
        <v>93</v>
      </c>
    </row>
    <row r="64" spans="7:12" hidden="1">
      <c r="I64" s="116"/>
      <c r="J64" s="117"/>
      <c r="K64" s="117"/>
      <c r="L64" s="111"/>
    </row>
    <row r="65" spans="9:9" hidden="1"/>
    <row r="66" spans="9:9" hidden="1"/>
    <row r="67" spans="9:9" hidden="1"/>
    <row r="68" spans="9:9" hidden="1"/>
    <row r="69" spans="9:9" hidden="1"/>
    <row r="70" spans="9:9" hidden="1"/>
    <row r="71" spans="9:9" hidden="1"/>
    <row r="72" spans="9:9" hidden="1"/>
    <row r="73" spans="9:9" hidden="1"/>
    <row r="74" spans="9:9" hidden="1"/>
    <row r="76" spans="9:9">
      <c r="I76" s="86"/>
    </row>
  </sheetData>
  <mergeCells count="10">
    <mergeCell ref="B4:C4"/>
    <mergeCell ref="B5:C5"/>
    <mergeCell ref="B11:D11"/>
    <mergeCell ref="B1:D1"/>
    <mergeCell ref="E1:H1"/>
    <mergeCell ref="B2:D2"/>
    <mergeCell ref="B6:C6"/>
    <mergeCell ref="B7:C7"/>
    <mergeCell ref="B8:C8"/>
    <mergeCell ref="B3:C3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:P22"/>
  <sheetViews>
    <sheetView showWhiteSpace="0" topLeftCell="D1" zoomScaleSheetLayoutView="100" workbookViewId="0">
      <selection activeCell="Q20" sqref="Q20"/>
    </sheetView>
  </sheetViews>
  <sheetFormatPr baseColWidth="10" defaultColWidth="11.42578125" defaultRowHeight="15"/>
  <cols>
    <col min="1" max="1" width="2.85546875" customWidth="1"/>
    <col min="2" max="2" width="10.140625" customWidth="1"/>
    <col min="3" max="3" width="25.85546875" customWidth="1"/>
    <col min="4" max="4" width="12" bestFit="1" customWidth="1"/>
    <col min="5" max="7" width="13" bestFit="1" customWidth="1"/>
    <col min="8" max="8" width="14.5703125" bestFit="1" customWidth="1"/>
    <col min="9" max="9" width="12.85546875" bestFit="1" customWidth="1"/>
    <col min="10" max="10" width="13" bestFit="1" customWidth="1"/>
    <col min="11" max="11" width="9.7109375" customWidth="1"/>
    <col min="12" max="12" width="12" bestFit="1" customWidth="1"/>
    <col min="13" max="13" width="10.7109375" bestFit="1" customWidth="1"/>
    <col min="14" max="14" width="9.85546875" customWidth="1"/>
    <col min="15" max="15" width="10.42578125" customWidth="1"/>
    <col min="16" max="16" width="13" bestFit="1" customWidth="1"/>
  </cols>
  <sheetData>
    <row r="1" spans="2:16" ht="34.5" customHeight="1">
      <c r="B1" s="177" t="s">
        <v>0</v>
      </c>
      <c r="C1" s="177"/>
      <c r="D1" s="194" t="s">
        <v>82</v>
      </c>
      <c r="E1" s="194"/>
      <c r="F1" s="194"/>
      <c r="G1" s="194"/>
      <c r="H1" s="131">
        <f>+P10</f>
        <v>200000</v>
      </c>
      <c r="J1" s="5"/>
    </row>
    <row r="2" spans="2:16" s="79" customFormat="1">
      <c r="B2" s="168"/>
      <c r="C2" s="168"/>
      <c r="H2" s="81"/>
    </row>
    <row r="3" spans="2:16">
      <c r="B3" s="106" t="s">
        <v>4</v>
      </c>
      <c r="C3" s="106" t="s">
        <v>5</v>
      </c>
      <c r="D3" s="88" t="s">
        <v>6</v>
      </c>
      <c r="E3" s="88" t="s">
        <v>7</v>
      </c>
      <c r="F3" s="88" t="s">
        <v>8</v>
      </c>
      <c r="G3" s="88" t="s">
        <v>9</v>
      </c>
      <c r="H3" s="88" t="s">
        <v>10</v>
      </c>
      <c r="I3" s="88" t="s">
        <v>11</v>
      </c>
      <c r="J3" s="88" t="s">
        <v>12</v>
      </c>
      <c r="K3" s="88" t="s">
        <v>13</v>
      </c>
      <c r="L3" s="88" t="s">
        <v>14</v>
      </c>
      <c r="M3" s="88" t="s">
        <v>15</v>
      </c>
      <c r="N3" s="88" t="s">
        <v>16</v>
      </c>
      <c r="O3" s="88" t="s">
        <v>17</v>
      </c>
      <c r="P3" s="60">
        <f t="shared" ref="P3:P9" si="0">SUM(D3:O3)</f>
        <v>0</v>
      </c>
    </row>
    <row r="4" spans="2:16">
      <c r="B4" s="136">
        <v>12102</v>
      </c>
      <c r="C4" s="137" t="s">
        <v>108</v>
      </c>
      <c r="D4" s="138">
        <v>6000</v>
      </c>
      <c r="E4" s="138"/>
      <c r="F4" s="138">
        <v>6000</v>
      </c>
      <c r="G4" s="138"/>
      <c r="H4" s="138">
        <v>6000</v>
      </c>
      <c r="I4" s="138"/>
      <c r="J4" s="138">
        <v>6000</v>
      </c>
      <c r="K4" s="138"/>
      <c r="L4" s="138">
        <v>6000</v>
      </c>
      <c r="M4" s="138"/>
      <c r="N4" s="138">
        <v>6000</v>
      </c>
      <c r="O4" s="138"/>
      <c r="P4" s="3">
        <f t="shared" si="0"/>
        <v>36000</v>
      </c>
    </row>
    <row r="5" spans="2:16">
      <c r="B5" s="104">
        <v>37101</v>
      </c>
      <c r="C5" s="66" t="s">
        <v>21</v>
      </c>
      <c r="D5" s="139"/>
      <c r="E5" s="139">
        <v>5000</v>
      </c>
      <c r="F5" s="139"/>
      <c r="G5" s="139"/>
      <c r="H5" s="139">
        <v>5000</v>
      </c>
      <c r="I5" s="139"/>
      <c r="J5" s="139"/>
      <c r="K5" s="139"/>
      <c r="L5" s="139">
        <v>5000</v>
      </c>
      <c r="M5" s="139"/>
      <c r="N5" s="139"/>
      <c r="O5" s="139"/>
      <c r="P5" s="3">
        <f t="shared" si="0"/>
        <v>15000</v>
      </c>
    </row>
    <row r="6" spans="2:16">
      <c r="B6" s="104">
        <v>37201</v>
      </c>
      <c r="C6" s="66" t="s">
        <v>76</v>
      </c>
      <c r="D6" s="139"/>
      <c r="E6" s="139">
        <f>2600*2</f>
        <v>5200</v>
      </c>
      <c r="F6" s="139"/>
      <c r="G6" s="139"/>
      <c r="H6" s="139">
        <v>5200</v>
      </c>
      <c r="I6" s="139"/>
      <c r="J6" s="139"/>
      <c r="K6" s="139">
        <v>5200</v>
      </c>
      <c r="L6" s="139"/>
      <c r="M6" s="139"/>
      <c r="N6" s="139"/>
      <c r="O6" s="139"/>
      <c r="P6" s="3">
        <f t="shared" si="0"/>
        <v>15600</v>
      </c>
    </row>
    <row r="7" spans="2:16" ht="21.75" customHeight="1">
      <c r="B7" s="104">
        <v>37501</v>
      </c>
      <c r="C7" s="66" t="s">
        <v>77</v>
      </c>
      <c r="D7" s="139">
        <v>16443.32</v>
      </c>
      <c r="E7" s="139"/>
      <c r="F7" s="139">
        <v>10000</v>
      </c>
      <c r="G7" s="139"/>
      <c r="H7" s="139"/>
      <c r="I7" s="139">
        <v>5000</v>
      </c>
      <c r="J7" s="139"/>
      <c r="K7" s="139"/>
      <c r="L7" s="139"/>
      <c r="M7" s="139"/>
      <c r="N7" s="139"/>
      <c r="O7" s="139"/>
      <c r="P7" s="3">
        <f t="shared" si="0"/>
        <v>31443.32</v>
      </c>
    </row>
    <row r="8" spans="2:16" ht="22.5">
      <c r="B8" s="104">
        <v>39903</v>
      </c>
      <c r="C8" s="66" t="s">
        <v>74</v>
      </c>
      <c r="D8" s="139">
        <v>11000</v>
      </c>
      <c r="E8" s="139">
        <v>5000</v>
      </c>
      <c r="F8" s="139"/>
      <c r="G8" s="139">
        <v>6500</v>
      </c>
      <c r="H8" s="139">
        <v>3456.68</v>
      </c>
      <c r="I8" s="139"/>
      <c r="J8" s="139">
        <v>5000</v>
      </c>
      <c r="K8" s="139"/>
      <c r="L8" s="139">
        <v>2000</v>
      </c>
      <c r="M8" s="139"/>
      <c r="N8" s="139">
        <v>3000</v>
      </c>
      <c r="O8" s="139"/>
      <c r="P8" s="3">
        <f t="shared" si="0"/>
        <v>35956.68</v>
      </c>
    </row>
    <row r="9" spans="2:16">
      <c r="B9" s="103">
        <v>39902</v>
      </c>
      <c r="C9" s="68" t="s">
        <v>75</v>
      </c>
      <c r="D9" s="139">
        <v>6000</v>
      </c>
      <c r="E9" s="139">
        <v>6000</v>
      </c>
      <c r="F9" s="139">
        <v>6000</v>
      </c>
      <c r="G9" s="139">
        <v>6000</v>
      </c>
      <c r="H9" s="139">
        <v>6000</v>
      </c>
      <c r="I9" s="139">
        <v>6000</v>
      </c>
      <c r="J9" s="139">
        <v>0</v>
      </c>
      <c r="K9" s="139">
        <v>6000</v>
      </c>
      <c r="L9" s="139">
        <v>6000</v>
      </c>
      <c r="M9" s="139">
        <v>6000</v>
      </c>
      <c r="N9" s="139">
        <v>6000</v>
      </c>
      <c r="O9" s="139">
        <v>6000</v>
      </c>
      <c r="P9" s="3">
        <f t="shared" si="0"/>
        <v>66000</v>
      </c>
    </row>
    <row r="10" spans="2:16">
      <c r="B10" s="192" t="s">
        <v>36</v>
      </c>
      <c r="C10" s="193"/>
      <c r="D10" s="3">
        <f>SUM(D4:D8)</f>
        <v>33443.32</v>
      </c>
      <c r="E10" s="3">
        <f t="shared" ref="E10:O10" si="1">SUM(E4:E8)</f>
        <v>15200</v>
      </c>
      <c r="F10" s="3">
        <f t="shared" si="1"/>
        <v>16000</v>
      </c>
      <c r="G10" s="3">
        <f t="shared" si="1"/>
        <v>6500</v>
      </c>
      <c r="H10" s="3">
        <f t="shared" si="1"/>
        <v>19656.68</v>
      </c>
      <c r="I10" s="3">
        <f t="shared" si="1"/>
        <v>5000</v>
      </c>
      <c r="J10" s="3">
        <f t="shared" si="1"/>
        <v>11000</v>
      </c>
      <c r="K10" s="3">
        <f t="shared" si="1"/>
        <v>5200</v>
      </c>
      <c r="L10" s="3">
        <f t="shared" si="1"/>
        <v>13000</v>
      </c>
      <c r="M10" s="3">
        <f t="shared" si="1"/>
        <v>0</v>
      </c>
      <c r="N10" s="3">
        <f t="shared" si="1"/>
        <v>9000</v>
      </c>
      <c r="O10" s="3">
        <f t="shared" si="1"/>
        <v>0</v>
      </c>
      <c r="P10" s="3">
        <f>SUM(P4:P9)</f>
        <v>200000</v>
      </c>
    </row>
    <row r="11" spans="2:16">
      <c r="P11" s="86"/>
    </row>
    <row r="13" spans="2:16">
      <c r="D13" s="124"/>
      <c r="E13" s="124"/>
      <c r="F13" s="124"/>
      <c r="P13" s="86"/>
    </row>
    <row r="14" spans="2:16">
      <c r="D14" s="124"/>
      <c r="E14" s="124"/>
      <c r="F14" s="124"/>
    </row>
    <row r="15" spans="2:16">
      <c r="D15" s="124"/>
      <c r="E15" s="124"/>
      <c r="F15" s="124"/>
    </row>
    <row r="16" spans="2:16">
      <c r="D16" s="124"/>
      <c r="E16" s="124"/>
      <c r="F16" s="124"/>
    </row>
    <row r="17" spans="4:6">
      <c r="D17" s="124"/>
      <c r="E17" s="124"/>
      <c r="F17" s="124"/>
    </row>
    <row r="18" spans="4:6">
      <c r="D18" s="124"/>
      <c r="E18" s="124"/>
      <c r="F18" s="124"/>
    </row>
    <row r="19" spans="4:6">
      <c r="D19" s="124"/>
      <c r="E19" s="124"/>
      <c r="F19" s="124"/>
    </row>
    <row r="20" spans="4:6">
      <c r="D20" s="124"/>
      <c r="E20" s="124"/>
      <c r="F20" s="124"/>
    </row>
    <row r="21" spans="4:6">
      <c r="D21" s="124"/>
      <c r="E21" s="124"/>
      <c r="F21" s="124"/>
    </row>
    <row r="22" spans="4:6">
      <c r="D22" s="124"/>
      <c r="E22" s="124"/>
      <c r="F22" s="124"/>
    </row>
  </sheetData>
  <mergeCells count="4">
    <mergeCell ref="B1:C1"/>
    <mergeCell ref="B10:C10"/>
    <mergeCell ref="D1:G1"/>
    <mergeCell ref="B2:C2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Q13"/>
  <sheetViews>
    <sheetView showWhiteSpace="0" zoomScale="106" zoomScaleNormal="106" zoomScaleSheetLayoutView="100" workbookViewId="0">
      <selection activeCell="J20" sqref="J20"/>
    </sheetView>
  </sheetViews>
  <sheetFormatPr baseColWidth="10" defaultColWidth="11.42578125" defaultRowHeight="15"/>
  <cols>
    <col min="1" max="1" width="2.85546875" customWidth="1"/>
    <col min="2" max="2" width="10.140625" customWidth="1"/>
    <col min="3" max="3" width="6.140625" customWidth="1"/>
    <col min="4" max="4" width="24.5703125" customWidth="1"/>
    <col min="5" max="5" width="12" bestFit="1" customWidth="1"/>
    <col min="6" max="6" width="10.7109375" customWidth="1"/>
    <col min="7" max="7" width="13.42578125" bestFit="1" customWidth="1"/>
    <col min="8" max="8" width="12" bestFit="1" customWidth="1"/>
    <col min="9" max="9" width="14.5703125" bestFit="1" customWidth="1"/>
    <col min="10" max="10" width="13.140625" bestFit="1" customWidth="1"/>
    <col min="11" max="11" width="12" bestFit="1" customWidth="1"/>
    <col min="12" max="12" width="11.28515625" customWidth="1"/>
    <col min="13" max="13" width="12" bestFit="1" customWidth="1"/>
    <col min="14" max="14" width="9.7109375" customWidth="1"/>
    <col min="15" max="15" width="12" bestFit="1" customWidth="1"/>
    <col min="16" max="16" width="10.42578125" customWidth="1"/>
    <col min="17" max="17" width="13.140625" bestFit="1" customWidth="1"/>
  </cols>
  <sheetData>
    <row r="1" spans="2:17" ht="24.75" customHeight="1">
      <c r="B1" s="177" t="s">
        <v>0</v>
      </c>
      <c r="C1" s="177"/>
      <c r="D1" s="177"/>
      <c r="E1" s="177" t="s">
        <v>84</v>
      </c>
      <c r="F1" s="177"/>
      <c r="G1" s="177"/>
      <c r="H1" s="177"/>
      <c r="I1" s="140">
        <f>+Q13</f>
        <v>85000</v>
      </c>
      <c r="J1" s="85"/>
      <c r="K1" s="50"/>
      <c r="L1" s="50"/>
    </row>
    <row r="2" spans="2:17">
      <c r="B2" s="178"/>
      <c r="C2" s="200"/>
      <c r="D2" s="179"/>
      <c r="F2" s="5"/>
      <c r="G2" s="5"/>
      <c r="J2" s="86"/>
      <c r="K2" s="50"/>
      <c r="L2" s="50"/>
    </row>
    <row r="3" spans="2:17" ht="15.75" thickBot="1">
      <c r="B3" s="197" t="s">
        <v>4</v>
      </c>
      <c r="C3" s="198"/>
      <c r="D3" s="5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 t="s">
        <v>17</v>
      </c>
      <c r="Q3" s="11" t="s">
        <v>36</v>
      </c>
    </row>
    <row r="4" spans="2:17">
      <c r="B4" s="199"/>
      <c r="C4" s="199"/>
      <c r="D4" s="199"/>
      <c r="E4" s="43"/>
      <c r="F4" s="43"/>
      <c r="G4" s="43"/>
      <c r="H4" s="43"/>
      <c r="I4" s="43"/>
      <c r="J4" s="43"/>
      <c r="K4" s="43"/>
      <c r="L4" s="43"/>
      <c r="M4" s="43"/>
      <c r="N4" s="43"/>
      <c r="O4" s="46"/>
      <c r="P4" s="47"/>
      <c r="Q4" s="48">
        <f t="shared" ref="Q4:Q12" si="0">SUM(E4:P4)</f>
        <v>0</v>
      </c>
    </row>
    <row r="5" spans="2:17">
      <c r="B5" s="195">
        <v>12102</v>
      </c>
      <c r="C5" s="196"/>
      <c r="D5" s="82" t="s">
        <v>85</v>
      </c>
      <c r="E5" s="83">
        <f>10000*1.16</f>
        <v>11600</v>
      </c>
      <c r="F5" s="83"/>
      <c r="G5" s="83"/>
      <c r="H5" s="83">
        <v>11600</v>
      </c>
      <c r="I5" s="83"/>
      <c r="J5" s="83">
        <v>11600</v>
      </c>
      <c r="K5" s="83"/>
      <c r="L5" s="83"/>
      <c r="M5" s="83"/>
      <c r="N5" s="83"/>
      <c r="O5" s="83"/>
      <c r="P5" s="83"/>
      <c r="Q5" s="84">
        <f t="shared" si="0"/>
        <v>34800</v>
      </c>
    </row>
    <row r="6" spans="2:17">
      <c r="B6" s="195">
        <v>12102</v>
      </c>
      <c r="C6" s="196"/>
      <c r="D6" s="82" t="s">
        <v>86</v>
      </c>
      <c r="E6" s="83">
        <v>1500</v>
      </c>
      <c r="F6" s="83"/>
      <c r="G6" s="83"/>
      <c r="H6" s="83">
        <v>1500</v>
      </c>
      <c r="I6" s="83"/>
      <c r="J6" s="83">
        <v>1500</v>
      </c>
      <c r="K6" s="83"/>
      <c r="L6" s="83"/>
      <c r="M6" s="83"/>
      <c r="N6" s="83"/>
      <c r="O6" s="83"/>
      <c r="P6" s="83"/>
      <c r="Q6" s="84">
        <f t="shared" si="0"/>
        <v>4500</v>
      </c>
    </row>
    <row r="7" spans="2:17">
      <c r="B7" s="195">
        <v>32901</v>
      </c>
      <c r="C7" s="196"/>
      <c r="D7" s="82" t="s">
        <v>25</v>
      </c>
      <c r="E7" s="83">
        <v>1000</v>
      </c>
      <c r="F7" s="83"/>
      <c r="G7" s="83">
        <v>1000</v>
      </c>
      <c r="H7" s="83"/>
      <c r="I7" s="83">
        <v>1000</v>
      </c>
      <c r="J7" s="83"/>
      <c r="K7" s="83"/>
      <c r="L7" s="83">
        <v>2000</v>
      </c>
      <c r="M7" s="83"/>
      <c r="N7" s="83"/>
      <c r="O7" s="83"/>
      <c r="P7" s="83"/>
      <c r="Q7" s="84">
        <f t="shared" si="0"/>
        <v>5000</v>
      </c>
    </row>
    <row r="8" spans="2:17">
      <c r="B8" s="181">
        <v>37101</v>
      </c>
      <c r="C8" s="181"/>
      <c r="D8" s="61" t="s">
        <v>21</v>
      </c>
      <c r="E8" s="83"/>
      <c r="F8" s="83">
        <v>3000</v>
      </c>
      <c r="G8" s="83"/>
      <c r="H8" s="83"/>
      <c r="I8" s="83"/>
      <c r="J8" s="83">
        <v>3000</v>
      </c>
      <c r="K8" s="83"/>
      <c r="L8" s="83"/>
      <c r="M8" s="83"/>
      <c r="N8" s="83"/>
      <c r="O8" s="83"/>
      <c r="P8" s="83"/>
      <c r="Q8" s="84">
        <f t="shared" si="0"/>
        <v>6000</v>
      </c>
    </row>
    <row r="9" spans="2:17">
      <c r="B9" s="181">
        <v>37201</v>
      </c>
      <c r="C9" s="181"/>
      <c r="D9" s="61" t="s">
        <v>76</v>
      </c>
      <c r="E9" s="83">
        <v>2600</v>
      </c>
      <c r="F9" s="83"/>
      <c r="G9" s="83"/>
      <c r="H9" s="83">
        <v>2600</v>
      </c>
      <c r="I9" s="83"/>
      <c r="J9" s="83"/>
      <c r="K9" s="83"/>
      <c r="L9" s="83"/>
      <c r="M9" s="83"/>
      <c r="N9" s="83"/>
      <c r="O9" s="83"/>
      <c r="P9" s="83"/>
      <c r="Q9" s="84">
        <f t="shared" si="0"/>
        <v>5200</v>
      </c>
    </row>
    <row r="10" spans="2:17" ht="22.5">
      <c r="B10" s="181">
        <v>37901</v>
      </c>
      <c r="C10" s="181"/>
      <c r="D10" s="61" t="s">
        <v>68</v>
      </c>
      <c r="E10" s="83">
        <v>2500</v>
      </c>
      <c r="F10" s="83">
        <v>3000</v>
      </c>
      <c r="G10" s="83">
        <v>2500</v>
      </c>
      <c r="H10" s="83"/>
      <c r="I10" s="83">
        <v>3000</v>
      </c>
      <c r="J10" s="83"/>
      <c r="K10" s="83"/>
      <c r="L10" s="83"/>
      <c r="M10" s="83">
        <v>3000</v>
      </c>
      <c r="N10" s="83"/>
      <c r="O10" s="83"/>
      <c r="P10" s="83"/>
      <c r="Q10" s="84">
        <f t="shared" si="0"/>
        <v>14000</v>
      </c>
    </row>
    <row r="11" spans="2:17">
      <c r="B11" s="181">
        <v>37501</v>
      </c>
      <c r="C11" s="181"/>
      <c r="D11" s="61" t="s">
        <v>77</v>
      </c>
      <c r="E11" s="83">
        <v>3500</v>
      </c>
      <c r="F11" s="83"/>
      <c r="G11" s="83"/>
      <c r="H11" s="83"/>
      <c r="I11" s="83">
        <v>3000</v>
      </c>
      <c r="J11" s="83"/>
      <c r="K11" s="83"/>
      <c r="L11" s="83"/>
      <c r="M11" s="83"/>
      <c r="N11" s="83"/>
      <c r="O11" s="83"/>
      <c r="P11" s="83"/>
      <c r="Q11" s="84">
        <f t="shared" si="0"/>
        <v>6500</v>
      </c>
    </row>
    <row r="12" spans="2:17" ht="22.5">
      <c r="B12" s="181">
        <v>39903</v>
      </c>
      <c r="C12" s="181"/>
      <c r="D12" s="61" t="s">
        <v>87</v>
      </c>
      <c r="E12" s="83">
        <v>4500</v>
      </c>
      <c r="F12" s="83"/>
      <c r="G12" s="83"/>
      <c r="H12" s="83">
        <v>1500</v>
      </c>
      <c r="I12" s="83"/>
      <c r="J12" s="83"/>
      <c r="K12" s="83">
        <v>3000</v>
      </c>
      <c r="L12" s="83"/>
      <c r="M12" s="83"/>
      <c r="N12" s="83"/>
      <c r="O12" s="83"/>
      <c r="P12" s="83"/>
      <c r="Q12" s="84">
        <f t="shared" si="0"/>
        <v>9000</v>
      </c>
    </row>
    <row r="13" spans="2:17">
      <c r="B13" s="181"/>
      <c r="C13" s="181"/>
      <c r="D13" s="61"/>
      <c r="E13" s="49">
        <f t="shared" ref="E13:Q13" si="1">SUM(E5:E12)</f>
        <v>27200</v>
      </c>
      <c r="F13" s="49">
        <f t="shared" si="1"/>
        <v>6000</v>
      </c>
      <c r="G13" s="49">
        <f t="shared" si="1"/>
        <v>3500</v>
      </c>
      <c r="H13" s="49">
        <f t="shared" si="1"/>
        <v>17200</v>
      </c>
      <c r="I13" s="49">
        <f t="shared" si="1"/>
        <v>7000</v>
      </c>
      <c r="J13" s="49">
        <f t="shared" si="1"/>
        <v>16100</v>
      </c>
      <c r="K13" s="49">
        <f t="shared" si="1"/>
        <v>3000</v>
      </c>
      <c r="L13" s="49">
        <f t="shared" si="1"/>
        <v>2000</v>
      </c>
      <c r="M13" s="49">
        <f t="shared" si="1"/>
        <v>3000</v>
      </c>
      <c r="N13" s="49">
        <f t="shared" si="1"/>
        <v>0</v>
      </c>
      <c r="O13" s="49">
        <f t="shared" si="1"/>
        <v>0</v>
      </c>
      <c r="P13" s="49">
        <f t="shared" si="1"/>
        <v>0</v>
      </c>
      <c r="Q13" s="49">
        <f t="shared" si="1"/>
        <v>85000</v>
      </c>
    </row>
  </sheetData>
  <mergeCells count="14">
    <mergeCell ref="B5:C5"/>
    <mergeCell ref="B3:C3"/>
    <mergeCell ref="B4:D4"/>
    <mergeCell ref="E1:H1"/>
    <mergeCell ref="B2:D2"/>
    <mergeCell ref="B1:D1"/>
    <mergeCell ref="B13:C13"/>
    <mergeCell ref="B6:C6"/>
    <mergeCell ref="B9:C9"/>
    <mergeCell ref="B7:C7"/>
    <mergeCell ref="B10:C10"/>
    <mergeCell ref="B12:C12"/>
    <mergeCell ref="B8:C8"/>
    <mergeCell ref="B11:C11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1:Q11"/>
  <sheetViews>
    <sheetView showWhiteSpace="0" zoomScaleSheetLayoutView="100" workbookViewId="0">
      <selection activeCell="G16" sqref="G16"/>
    </sheetView>
  </sheetViews>
  <sheetFormatPr baseColWidth="10" defaultColWidth="11.42578125" defaultRowHeight="15"/>
  <cols>
    <col min="1" max="1" width="2.85546875" customWidth="1"/>
    <col min="2" max="2" width="10.140625" customWidth="1"/>
    <col min="3" max="3" width="23" customWidth="1"/>
    <col min="4" max="4" width="12.85546875" customWidth="1"/>
    <col min="5" max="6" width="13.140625" bestFit="1" customWidth="1"/>
    <col min="7" max="7" width="15.28515625" customWidth="1"/>
    <col min="8" max="8" width="17" customWidth="1"/>
    <col min="9" max="10" width="13.140625" bestFit="1" customWidth="1"/>
    <col min="11" max="11" width="12.85546875" customWidth="1"/>
    <col min="12" max="15" width="13.140625" bestFit="1" customWidth="1"/>
    <col min="16" max="16" width="14.28515625" customWidth="1"/>
  </cols>
  <sheetData>
    <row r="1" spans="2:17" ht="38.25" customHeight="1">
      <c r="B1" s="201" t="s">
        <v>0</v>
      </c>
      <c r="C1" s="201"/>
      <c r="D1" s="202" t="s">
        <v>81</v>
      </c>
      <c r="E1" s="202"/>
      <c r="F1" s="202"/>
      <c r="G1" s="202"/>
      <c r="H1" s="141">
        <f>+P11</f>
        <v>1225700</v>
      </c>
      <c r="I1" s="50"/>
      <c r="J1" s="50"/>
      <c r="K1" s="50"/>
      <c r="L1" s="50"/>
    </row>
    <row r="2" spans="2:17" s="143" customFormat="1">
      <c r="B2" s="203"/>
      <c r="C2" s="203"/>
      <c r="E2" s="144"/>
      <c r="F2" s="144"/>
      <c r="I2" s="79"/>
      <c r="J2" s="79"/>
      <c r="K2" s="79"/>
      <c r="L2" s="79"/>
    </row>
    <row r="3" spans="2:17">
      <c r="B3" s="150" t="s">
        <v>4</v>
      </c>
      <c r="C3" s="132" t="s">
        <v>5</v>
      </c>
      <c r="D3" s="133" t="s">
        <v>6</v>
      </c>
      <c r="E3" s="134" t="s">
        <v>7</v>
      </c>
      <c r="F3" s="134" t="s">
        <v>8</v>
      </c>
      <c r="G3" s="134" t="s">
        <v>9</v>
      </c>
      <c r="H3" s="134" t="s">
        <v>10</v>
      </c>
      <c r="I3" s="134" t="s">
        <v>11</v>
      </c>
      <c r="J3" s="134" t="s">
        <v>12</v>
      </c>
      <c r="K3" s="134" t="s">
        <v>13</v>
      </c>
      <c r="L3" s="134" t="s">
        <v>14</v>
      </c>
      <c r="M3" s="134" t="s">
        <v>15</v>
      </c>
      <c r="N3" s="134" t="s">
        <v>16</v>
      </c>
      <c r="O3" s="135" t="s">
        <v>17</v>
      </c>
      <c r="P3" s="142"/>
      <c r="Q3" s="5"/>
    </row>
    <row r="4" spans="2:17" ht="23.25" customHeight="1">
      <c r="B4" s="149">
        <v>32501</v>
      </c>
      <c r="C4" s="64" t="s">
        <v>19</v>
      </c>
      <c r="D4" s="23"/>
      <c r="E4" s="23">
        <v>50000</v>
      </c>
      <c r="F4" s="23"/>
      <c r="G4" s="23">
        <v>50000</v>
      </c>
      <c r="H4" s="23"/>
      <c r="I4" s="23"/>
      <c r="J4" s="23">
        <v>50000</v>
      </c>
      <c r="K4" s="23"/>
      <c r="L4" s="23"/>
      <c r="M4" s="23"/>
      <c r="N4" s="23"/>
      <c r="O4" s="23"/>
      <c r="P4" s="23">
        <f t="shared" ref="P4:P10" si="0">SUM(D4:O4)</f>
        <v>150000</v>
      </c>
      <c r="Q4" s="5"/>
    </row>
    <row r="5" spans="2:17" ht="25.5" customHeight="1">
      <c r="B5" s="152">
        <v>37901</v>
      </c>
      <c r="C5" s="153" t="s">
        <v>68</v>
      </c>
      <c r="D5" s="23"/>
      <c r="E5" s="23">
        <v>3500</v>
      </c>
      <c r="F5" s="23"/>
      <c r="G5" s="23">
        <v>3000</v>
      </c>
      <c r="H5" s="23"/>
      <c r="I5" s="23"/>
      <c r="J5" s="23"/>
      <c r="K5" s="23"/>
      <c r="L5" s="23"/>
      <c r="M5" s="23"/>
      <c r="N5" s="23"/>
      <c r="O5" s="23"/>
      <c r="P5" s="23">
        <f t="shared" si="0"/>
        <v>6500</v>
      </c>
      <c r="Q5" s="5"/>
    </row>
    <row r="6" spans="2:17" ht="23.25" customHeight="1">
      <c r="B6" s="149">
        <v>27103</v>
      </c>
      <c r="C6" s="64" t="s">
        <v>18</v>
      </c>
      <c r="D6" s="23"/>
      <c r="E6" s="23">
        <v>90000</v>
      </c>
      <c r="F6" s="23"/>
      <c r="G6" s="23"/>
      <c r="H6" s="23"/>
      <c r="I6" s="23"/>
      <c r="J6" s="23"/>
      <c r="K6" s="23"/>
      <c r="L6" s="23"/>
      <c r="M6" s="23"/>
      <c r="N6" s="25"/>
      <c r="O6" s="23"/>
      <c r="P6" s="23">
        <f t="shared" si="0"/>
        <v>90000</v>
      </c>
      <c r="Q6" s="5"/>
    </row>
    <row r="7" spans="2:17" ht="28.5" customHeight="1">
      <c r="B7" s="151">
        <v>27301</v>
      </c>
      <c r="C7" s="65" t="s">
        <v>24</v>
      </c>
      <c r="D7" s="23"/>
      <c r="E7" s="23">
        <v>35000</v>
      </c>
      <c r="F7" s="23"/>
      <c r="G7" s="23"/>
      <c r="H7" s="23"/>
      <c r="I7" s="23"/>
      <c r="J7" s="23"/>
      <c r="K7" s="1"/>
      <c r="L7" s="23"/>
      <c r="M7" s="23"/>
      <c r="N7" s="23"/>
      <c r="O7" s="23"/>
      <c r="P7" s="23">
        <f t="shared" si="0"/>
        <v>35000</v>
      </c>
      <c r="Q7" s="5"/>
    </row>
    <row r="8" spans="2:17" ht="28.5" customHeight="1">
      <c r="B8" s="151">
        <v>37201</v>
      </c>
      <c r="C8" s="65" t="s">
        <v>76</v>
      </c>
      <c r="D8" s="23">
        <v>10000</v>
      </c>
      <c r="E8" s="23">
        <v>10000</v>
      </c>
      <c r="F8" s="23">
        <v>10000</v>
      </c>
      <c r="G8" s="23"/>
      <c r="H8" s="23"/>
      <c r="I8" s="23"/>
      <c r="J8" s="23"/>
      <c r="K8" s="23"/>
      <c r="L8" s="23"/>
      <c r="M8" s="23"/>
      <c r="N8" s="23"/>
      <c r="O8" s="23"/>
      <c r="P8" s="23">
        <f t="shared" si="0"/>
        <v>30000</v>
      </c>
      <c r="Q8" s="5"/>
    </row>
    <row r="9" spans="2:17" ht="28.5" customHeight="1">
      <c r="B9" s="151">
        <v>37101</v>
      </c>
      <c r="C9" s="65" t="s">
        <v>21</v>
      </c>
      <c r="D9" s="23"/>
      <c r="E9" s="23">
        <v>2600</v>
      </c>
      <c r="F9" s="23"/>
      <c r="G9" s="23">
        <v>2600</v>
      </c>
      <c r="H9" s="23"/>
      <c r="I9" s="23"/>
      <c r="J9" s="23"/>
      <c r="K9" s="23"/>
      <c r="L9" s="23"/>
      <c r="M9" s="23"/>
      <c r="N9" s="23"/>
      <c r="O9" s="23"/>
      <c r="P9" s="23">
        <f t="shared" si="0"/>
        <v>5200</v>
      </c>
      <c r="Q9" s="5"/>
    </row>
    <row r="10" spans="2:17" ht="28.5" customHeight="1">
      <c r="B10" s="151">
        <v>44204</v>
      </c>
      <c r="C10" s="154" t="s">
        <v>30</v>
      </c>
      <c r="D10" s="23">
        <f>101500+25000</f>
        <v>126500</v>
      </c>
      <c r="E10" s="23">
        <f t="shared" ref="E10:I10" si="1">101500+25000</f>
        <v>126500</v>
      </c>
      <c r="F10" s="23">
        <f t="shared" si="1"/>
        <v>126500</v>
      </c>
      <c r="G10" s="23">
        <f t="shared" si="1"/>
        <v>126500</v>
      </c>
      <c r="H10" s="23">
        <f t="shared" si="1"/>
        <v>126500</v>
      </c>
      <c r="I10" s="23">
        <f t="shared" si="1"/>
        <v>126500</v>
      </c>
      <c r="J10" s="23">
        <v>25000</v>
      </c>
      <c r="K10" s="23">
        <v>25000</v>
      </c>
      <c r="L10" s="23">
        <v>25000</v>
      </c>
      <c r="M10" s="23">
        <v>25000</v>
      </c>
      <c r="N10" s="23">
        <v>25000</v>
      </c>
      <c r="O10" s="23">
        <v>25000</v>
      </c>
      <c r="P10" s="23">
        <f t="shared" si="0"/>
        <v>909000</v>
      </c>
      <c r="Q10" s="5"/>
    </row>
    <row r="11" spans="2:17">
      <c r="D11" s="44">
        <f t="shared" ref="D11:P11" si="2">SUM(D4:D10)</f>
        <v>136500</v>
      </c>
      <c r="E11" s="44">
        <f t="shared" si="2"/>
        <v>317600</v>
      </c>
      <c r="F11" s="44">
        <f t="shared" si="2"/>
        <v>136500</v>
      </c>
      <c r="G11" s="44">
        <f t="shared" si="2"/>
        <v>182100</v>
      </c>
      <c r="H11" s="44">
        <f t="shared" si="2"/>
        <v>126500</v>
      </c>
      <c r="I11" s="44">
        <f t="shared" si="2"/>
        <v>126500</v>
      </c>
      <c r="J11" s="44">
        <f t="shared" si="2"/>
        <v>75000</v>
      </c>
      <c r="K11" s="44">
        <f t="shared" si="2"/>
        <v>25000</v>
      </c>
      <c r="L11" s="44">
        <f t="shared" si="2"/>
        <v>25000</v>
      </c>
      <c r="M11" s="44">
        <f t="shared" si="2"/>
        <v>25000</v>
      </c>
      <c r="N11" s="44">
        <f t="shared" si="2"/>
        <v>25000</v>
      </c>
      <c r="O11" s="44">
        <f t="shared" si="2"/>
        <v>25000</v>
      </c>
      <c r="P11" s="44">
        <f t="shared" si="2"/>
        <v>1225700</v>
      </c>
    </row>
  </sheetData>
  <mergeCells count="3">
    <mergeCell ref="B1:C1"/>
    <mergeCell ref="D1:G1"/>
    <mergeCell ref="B2:C2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12"/>
  <sheetViews>
    <sheetView showWhiteSpace="0" zoomScaleNormal="100" zoomScaleSheetLayoutView="112" workbookViewId="0">
      <selection activeCell="G20" sqref="G20"/>
    </sheetView>
  </sheetViews>
  <sheetFormatPr baseColWidth="10" defaultColWidth="11.42578125" defaultRowHeight="15"/>
  <cols>
    <col min="1" max="1" width="9.7109375" customWidth="1"/>
    <col min="2" max="2" width="13.85546875" customWidth="1"/>
    <col min="3" max="3" width="13" bestFit="1" customWidth="1"/>
    <col min="4" max="5" width="12.5703125" bestFit="1" customWidth="1"/>
    <col min="6" max="14" width="10.7109375" bestFit="1" customWidth="1"/>
    <col min="15" max="15" width="13.28515625" customWidth="1"/>
    <col min="16" max="16" width="13.7109375" customWidth="1"/>
  </cols>
  <sheetData>
    <row r="1" spans="2:16">
      <c r="C1" s="58" t="s">
        <v>0</v>
      </c>
      <c r="D1" s="204" t="s">
        <v>31</v>
      </c>
      <c r="E1" s="204"/>
      <c r="F1" s="204"/>
      <c r="G1" s="204"/>
      <c r="H1" s="205">
        <v>2100000</v>
      </c>
      <c r="I1" s="205"/>
      <c r="J1" s="5"/>
      <c r="K1" s="5"/>
      <c r="L1" s="5"/>
    </row>
    <row r="2" spans="2:16">
      <c r="B2" s="206"/>
      <c r="C2" s="20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2:16">
      <c r="B3" s="6"/>
      <c r="C3" s="13" t="s">
        <v>4</v>
      </c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7" t="s">
        <v>17</v>
      </c>
      <c r="P3" s="18"/>
    </row>
    <row r="4" spans="2:16">
      <c r="B4" s="1" t="s">
        <v>32</v>
      </c>
      <c r="C4" s="53">
        <v>44201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2">
        <f>SUM(D4:O4)</f>
        <v>0</v>
      </c>
    </row>
    <row r="5" spans="2:16">
      <c r="B5" s="14" t="s">
        <v>33</v>
      </c>
      <c r="C5" s="53">
        <v>33601</v>
      </c>
      <c r="D5" s="2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2">
        <f t="shared" ref="P5:P12" si="0">SUM(D5:O5)</f>
        <v>0</v>
      </c>
    </row>
    <row r="6" spans="2:16">
      <c r="B6" s="14" t="s">
        <v>34</v>
      </c>
      <c r="C6" s="53">
        <v>27301</v>
      </c>
      <c r="D6" s="54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12">
        <f t="shared" si="0"/>
        <v>0</v>
      </c>
    </row>
    <row r="7" spans="2:16">
      <c r="B7" s="21" t="s">
        <v>35</v>
      </c>
      <c r="C7" s="53">
        <v>27103</v>
      </c>
      <c r="D7" s="54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2">
        <f t="shared" si="0"/>
        <v>0</v>
      </c>
    </row>
    <row r="8" spans="2:16">
      <c r="B8" s="14"/>
      <c r="C8" s="53"/>
      <c r="D8" s="3"/>
      <c r="E8" s="3"/>
      <c r="F8" s="20"/>
      <c r="G8" s="20"/>
      <c r="H8" s="20"/>
      <c r="I8" s="3"/>
      <c r="J8" s="3"/>
      <c r="K8" s="3"/>
      <c r="L8" s="3"/>
      <c r="M8" s="3"/>
      <c r="N8" s="57"/>
      <c r="O8" s="3"/>
      <c r="P8" s="12">
        <f t="shared" si="0"/>
        <v>0</v>
      </c>
    </row>
    <row r="9" spans="2:16">
      <c r="B9" s="14"/>
      <c r="C9" s="5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>
        <f t="shared" si="0"/>
        <v>0</v>
      </c>
    </row>
    <row r="10" spans="2:16">
      <c r="B10" s="21"/>
      <c r="C10" s="5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si="0"/>
        <v>0</v>
      </c>
    </row>
    <row r="11" spans="2:16">
      <c r="B11" s="21"/>
      <c r="C11" s="2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</row>
    <row r="12" spans="2:16">
      <c r="B12" s="21"/>
      <c r="C12" s="22"/>
      <c r="D12" s="4">
        <f>SUM(D4:D11)</f>
        <v>0</v>
      </c>
      <c r="E12" s="4">
        <f t="shared" ref="E12:O12" si="1">SUM(E4:E11)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12">
        <f t="shared" si="0"/>
        <v>0</v>
      </c>
    </row>
  </sheetData>
  <mergeCells count="3">
    <mergeCell ref="D1:G1"/>
    <mergeCell ref="H1:I1"/>
    <mergeCell ref="B2:C2"/>
  </mergeCell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ADMON Y FINANZAS</vt:lpstr>
      <vt:lpstr>DES ACC Y Y EVENT DEP</vt:lpstr>
      <vt:lpstr>OLIMP Y PARALIMP</vt:lpstr>
      <vt:lpstr>ADAPTADO</vt:lpstr>
      <vt:lpstr>FEDERADO </vt:lpstr>
      <vt:lpstr>CAPACITACION14</vt:lpstr>
      <vt:lpstr>SELECTIVO</vt:lpstr>
      <vt:lpstr>COLIMA SANO</vt:lpstr>
    </vt:vector>
  </TitlesOfParts>
  <Company>PERSONAL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ceid5</dc:creator>
  <cp:lastModifiedBy>Administrador</cp:lastModifiedBy>
  <cp:revision/>
  <cp:lastPrinted>2016-10-12T22:45:57Z</cp:lastPrinted>
  <dcterms:created xsi:type="dcterms:W3CDTF">2013-04-22T19:18:02Z</dcterms:created>
  <dcterms:modified xsi:type="dcterms:W3CDTF">2017-01-09T17:45:27Z</dcterms:modified>
</cp:coreProperties>
</file>