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y Bueno\Documents\+PARTIC MUNICIPIOS\2025\Calend Entrega Partic 2025\"/>
    </mc:Choice>
  </mc:AlternateContent>
  <xr:revisionPtr revIDLastSave="0" documentId="13_ncr:1_{1F8BC7C6-5D08-46F8-BC08-27E5C9A7A695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2025" sheetId="9" r:id="rId1"/>
    <sheet name="MONTO 2025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3" i="10" l="1"/>
  <c r="F33" i="10"/>
  <c r="H33" i="10"/>
  <c r="J33" i="10"/>
  <c r="I26" i="10" s="1"/>
  <c r="I27" i="10"/>
  <c r="I22" i="10" l="1"/>
  <c r="I28" i="10"/>
  <c r="I23" i="10"/>
  <c r="I29" i="10"/>
  <c r="I24" i="10"/>
  <c r="I30" i="10"/>
  <c r="I25" i="10"/>
  <c r="I31" i="10"/>
  <c r="F48" i="10"/>
  <c r="H24" i="10"/>
  <c r="F28" i="10"/>
  <c r="F25" i="10"/>
  <c r="D28" i="10"/>
  <c r="D24" i="10"/>
  <c r="J8" i="10"/>
  <c r="H13" i="10"/>
  <c r="H10" i="10"/>
  <c r="F14" i="10"/>
  <c r="D14" i="10"/>
  <c r="F13" i="10"/>
  <c r="G15" i="9"/>
  <c r="E15" i="9"/>
  <c r="D48" i="10"/>
  <c r="D41" i="10" s="1"/>
  <c r="H16" i="10"/>
  <c r="H11" i="10" s="1"/>
  <c r="F16" i="10"/>
  <c r="F11" i="10" s="1"/>
  <c r="I32" i="10" l="1"/>
  <c r="F10" i="10"/>
  <c r="D39" i="10"/>
  <c r="H22" i="10"/>
  <c r="D30" i="10"/>
  <c r="J16" i="10"/>
  <c r="J7" i="10" l="1"/>
  <c r="J11" i="10"/>
  <c r="C47" i="10"/>
  <c r="D46" i="10"/>
  <c r="D45" i="10"/>
  <c r="D44" i="10"/>
  <c r="D43" i="10"/>
  <c r="D42" i="10"/>
  <c r="D40" i="10"/>
  <c r="D38" i="10"/>
  <c r="D37" i="10"/>
  <c r="H30" i="10"/>
  <c r="J32" i="10"/>
  <c r="G32" i="10"/>
  <c r="E32" i="10"/>
  <c r="C32" i="10"/>
  <c r="H31" i="10"/>
  <c r="F31" i="10"/>
  <c r="F30" i="10"/>
  <c r="F45" i="10" s="1"/>
  <c r="H29" i="10"/>
  <c r="F29" i="10"/>
  <c r="D29" i="10"/>
  <c r="H28" i="10"/>
  <c r="F43" i="10" s="1"/>
  <c r="F27" i="10"/>
  <c r="H26" i="10"/>
  <c r="F26" i="10"/>
  <c r="D26" i="10"/>
  <c r="H25" i="10"/>
  <c r="F24" i="10"/>
  <c r="F39" i="10" s="1"/>
  <c r="H23" i="10"/>
  <c r="F23" i="10"/>
  <c r="D23" i="10"/>
  <c r="F22" i="10"/>
  <c r="J13" i="10"/>
  <c r="I15" i="10"/>
  <c r="G15" i="10"/>
  <c r="E15" i="10"/>
  <c r="C15" i="10"/>
  <c r="J14" i="10"/>
  <c r="J12" i="10"/>
  <c r="J9" i="10"/>
  <c r="J6" i="10"/>
  <c r="J5" i="10"/>
  <c r="F41" i="10" l="1"/>
  <c r="D47" i="10"/>
  <c r="F32" i="10"/>
  <c r="J10" i="10"/>
  <c r="D27" i="10"/>
  <c r="D22" i="10"/>
  <c r="D25" i="10"/>
  <c r="F40" i="10" s="1"/>
  <c r="H27" i="10"/>
  <c r="D31" i="10"/>
  <c r="F46" i="10" s="1"/>
  <c r="C15" i="9"/>
  <c r="F7" i="10"/>
  <c r="D16" i="10" l="1"/>
  <c r="F5" i="10"/>
  <c r="F9" i="10"/>
  <c r="F6" i="10"/>
  <c r="F12" i="10"/>
  <c r="F8" i="10"/>
  <c r="D32" i="10"/>
  <c r="H32" i="10"/>
  <c r="J15" i="10"/>
  <c r="D6" i="10" l="1"/>
  <c r="D7" i="10"/>
  <c r="D11" i="10"/>
  <c r="D10" i="10"/>
  <c r="D5" i="10"/>
  <c r="D13" i="10"/>
  <c r="D8" i="10"/>
  <c r="D9" i="10"/>
  <c r="D12" i="10"/>
  <c r="F15" i="10"/>
  <c r="D15" i="10" l="1"/>
  <c r="H6" i="10"/>
  <c r="H9" i="10"/>
  <c r="H14" i="10"/>
  <c r="H8" i="10"/>
  <c r="H5" i="10"/>
  <c r="H7" i="10"/>
  <c r="H12" i="10"/>
  <c r="G45" i="10" l="1"/>
  <c r="G43" i="10"/>
  <c r="G40" i="10"/>
  <c r="G39" i="10"/>
  <c r="G46" i="10"/>
  <c r="F37" i="10"/>
  <c r="H15" i="10"/>
  <c r="G41" i="10"/>
  <c r="F44" i="10"/>
  <c r="G44" i="10" s="1"/>
  <c r="F42" i="10"/>
  <c r="G42" i="10" s="1"/>
  <c r="F38" i="10"/>
  <c r="G38" i="10" s="1"/>
  <c r="F47" i="10" l="1"/>
  <c r="E39" i="10"/>
  <c r="E43" i="10"/>
  <c r="E41" i="10"/>
  <c r="E37" i="10"/>
  <c r="E42" i="10"/>
  <c r="E40" i="10"/>
  <c r="E45" i="10"/>
  <c r="E38" i="10"/>
  <c r="E44" i="10"/>
  <c r="G37" i="10"/>
  <c r="E46" i="10"/>
  <c r="F49" i="10" l="1"/>
  <c r="E47" i="10"/>
</calcChain>
</file>

<file path=xl/sharedStrings.xml><?xml version="1.0" encoding="utf-8"?>
<sst xmlns="http://schemas.openxmlformats.org/spreadsheetml/2006/main" count="93" uniqueCount="41">
  <si>
    <t>PORCENTAJES Y MONTOS ESTIMADOS DE PARTICIPACIONES FEDERALES CORRESPONDIENTES</t>
  </si>
  <si>
    <t>Municipio</t>
  </si>
  <si>
    <t>Fondo General de Participaciones</t>
  </si>
  <si>
    <t>Fondo de Fomento Municipal</t>
  </si>
  <si>
    <t>Fondo de Fiscalización y Recaudación</t>
  </si>
  <si>
    <t>Participación Específica del I.E.P.S</t>
  </si>
  <si>
    <t>Porcentaje</t>
  </si>
  <si>
    <t>Monto (Pesos)</t>
  </si>
  <si>
    <t>Armería</t>
  </si>
  <si>
    <t>Colima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</si>
  <si>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</si>
  <si>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</si>
  <si>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</si>
  <si>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</si>
  <si>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</si>
  <si>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</si>
  <si>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</si>
  <si>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</si>
  <si>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Sumas</t>
  </si>
  <si>
    <t>I.E.P.S. Venta Final de Gasolinas y Diesel</t>
  </si>
  <si>
    <t>Fondo de Compensación del I.S.A.N.</t>
  </si>
  <si>
    <t>Incentivos del I.S.A.N.</t>
  </si>
  <si>
    <t>Totales</t>
  </si>
  <si>
    <t>Total</t>
  </si>
  <si>
    <t xml:space="preserve">MONTOS ESTIMADOS DE LAS PARTICIPACIONES FEDERALES PARA EL ESTADO Y MUNICIPIOS </t>
  </si>
  <si>
    <t>Concepto</t>
  </si>
  <si>
    <t>%</t>
  </si>
  <si>
    <t>$</t>
  </si>
  <si>
    <t>Estado</t>
  </si>
  <si>
    <t>Impuesto Especial sobre Producción y Servicios</t>
  </si>
  <si>
    <t>Fondo de Compensación del ISAN</t>
  </si>
  <si>
    <t>Impuesto Sobre Automóviles Nuevos</t>
  </si>
  <si>
    <t>Participaciones de Gasolina y Diesel</t>
  </si>
  <si>
    <r>
      <rPr>
        <sz val="9.5"/>
        <color rgb="FF000000"/>
        <rFont val="Calibri"/>
        <family val="2"/>
        <charset val="1"/>
      </rPr>
      <t xml:space="preserve">Fondo de ISR participable </t>
    </r>
    <r>
      <rPr>
        <b/>
        <sz val="9.5"/>
        <color rgb="FF000000"/>
        <rFont val="Calibri"/>
        <family val="2"/>
        <charset val="1"/>
      </rPr>
      <t>(1)</t>
    </r>
  </si>
  <si>
    <t xml:space="preserve">Estimado </t>
  </si>
  <si>
    <t xml:space="preserve">Fondo de I.S.R </t>
  </si>
  <si>
    <t>I.S.R Enajenación de Bienes Inmuebles</t>
  </si>
  <si>
    <t>EN EL EJERCICIO FISCAL 2025</t>
  </si>
  <si>
    <t>A LOS MUNICIPIOS PARA EL EJERCICIO FISCAL 2025</t>
  </si>
  <si>
    <t xml:space="preserve">ISR Enajenación de Bienes Inmuebles </t>
  </si>
  <si>
    <t xml:space="preserve">Estimado: Acuerdo SHCP DOF 27/ENE/2025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</si>
</sst>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%"/>
    <numFmt numFmtId="165" formatCode="_-* #,##0.00_-;\-* #,##0.00_-;_-* \-??_-;_-@_-"/>
    <numFmt numFmtId="166" formatCode="0.0"/>
    <numFmt numFmtId="167" formatCode="_-* #,##0_-;\-* #,##0_-;_-* \-??_-;_-@_-"/>
  </numFmts>
  <fonts count="1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2F2F2F"/>
      <name val="Arial"/>
      <family val="2"/>
      <charset val="1"/>
    </font>
    <font>
      <b/>
      <sz val="9.5"/>
      <color rgb="FF000000"/>
      <name val="Calibri"/>
      <family val="2"/>
      <charset val="1"/>
    </font>
    <font>
      <sz val="9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0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9"/>
      <color theme="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10" fillId="0" borderId="0" applyBorder="0" applyProtection="0"/>
    <xf numFmtId="9" fontId="10" fillId="0" borderId="0" applyBorder="0" applyProtection="0"/>
    <xf numFmtId="0" fontId="1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2" xfId="0" applyFont="1" applyBorder="1"/>
    <xf numFmtId="165" fontId="0" fillId="0" borderId="0" xfId="1" applyFont="1" applyBorder="1" applyAlignment="1" applyProtection="1"/>
    <xf numFmtId="0" fontId="5" fillId="0" borderId="0" xfId="0" applyFont="1"/>
    <xf numFmtId="164" fontId="0" fillId="0" borderId="0" xfId="2" applyNumberFormat="1" applyFont="1" applyBorder="1" applyAlignment="1" applyProtection="1"/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/>
    <xf numFmtId="2" fontId="0" fillId="0" borderId="0" xfId="2" applyNumberFormat="1" applyFont="1" applyBorder="1" applyAlignment="1" applyProtection="1"/>
    <xf numFmtId="9" fontId="0" fillId="0" borderId="0" xfId="0" applyNumberFormat="1"/>
    <xf numFmtId="0" fontId="9" fillId="0" borderId="0" xfId="0" applyFont="1"/>
    <xf numFmtId="10" fontId="9" fillId="0" borderId="0" xfId="0" applyNumberFormat="1" applyFont="1"/>
    <xf numFmtId="0" fontId="8" fillId="0" borderId="0" xfId="0" applyFont="1"/>
    <xf numFmtId="3" fontId="8" fillId="0" borderId="2" xfId="0" applyNumberFormat="1" applyFont="1" applyBorder="1" applyAlignment="1">
      <alignment horizontal="right" vertical="center"/>
    </xf>
    <xf numFmtId="9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7" fontId="4" fillId="0" borderId="0" xfId="1" applyNumberFormat="1" applyFont="1"/>
    <xf numFmtId="164" fontId="4" fillId="0" borderId="0" xfId="2" applyNumberFormat="1" applyFont="1" applyBorder="1" applyAlignment="1" applyProtection="1"/>
    <xf numFmtId="4" fontId="0" fillId="0" borderId="0" xfId="0" applyNumberFormat="1"/>
    <xf numFmtId="0" fontId="8" fillId="0" borderId="2" xfId="0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right" vertical="center"/>
    </xf>
    <xf numFmtId="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5" fontId="9" fillId="0" borderId="0" xfId="1" applyFont="1"/>
    <xf numFmtId="167" fontId="15" fillId="0" borderId="0" xfId="1" applyNumberFormat="1" applyFont="1"/>
    <xf numFmtId="0" fontId="0" fillId="0" borderId="0" xfId="0" applyFill="1"/>
    <xf numFmtId="3" fontId="13" fillId="0" borderId="0" xfId="0" applyNumberFormat="1" applyFont="1" applyFill="1"/>
    <xf numFmtId="3" fontId="12" fillId="0" borderId="0" xfId="0" applyNumberFormat="1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64" fontId="9" fillId="0" borderId="2" xfId="2" applyNumberFormat="1" applyFont="1" applyBorder="1" applyAlignment="1" applyProtection="1">
      <alignment horizontal="center"/>
    </xf>
    <xf numFmtId="3" fontId="9" fillId="0" borderId="2" xfId="0" applyNumberFormat="1" applyFont="1" applyBorder="1"/>
    <xf numFmtId="164" fontId="9" fillId="0" borderId="2" xfId="2" applyNumberFormat="1" applyFont="1" applyBorder="1" applyAlignment="1" applyProtection="1"/>
    <xf numFmtId="164" fontId="16" fillId="0" borderId="2" xfId="0" applyNumberFormat="1" applyFont="1" applyFill="1" applyBorder="1"/>
    <xf numFmtId="3" fontId="16" fillId="0" borderId="2" xfId="0" applyNumberFormat="1" applyFont="1" applyFill="1" applyBorder="1"/>
    <xf numFmtId="164" fontId="9" fillId="0" borderId="2" xfId="2" applyNumberFormat="1" applyFont="1" applyFill="1" applyBorder="1" applyAlignment="1" applyProtection="1"/>
    <xf numFmtId="3" fontId="9" fillId="0" borderId="2" xfId="0" applyNumberFormat="1" applyFont="1" applyFill="1" applyBorder="1"/>
    <xf numFmtId="164" fontId="9" fillId="0" borderId="2" xfId="0" applyNumberFormat="1" applyFont="1" applyFill="1" applyBorder="1"/>
    <xf numFmtId="3" fontId="0" fillId="0" borderId="0" xfId="0" applyNumberFormat="1" applyFill="1"/>
    <xf numFmtId="4" fontId="0" fillId="0" borderId="0" xfId="0" applyNumberFormat="1" applyFill="1"/>
    <xf numFmtId="3" fontId="12" fillId="4" borderId="0" xfId="0" applyNumberFormat="1" applyFont="1" applyFill="1"/>
    <xf numFmtId="3" fontId="13" fillId="4" borderId="0" xfId="0" applyNumberFormat="1" applyFont="1" applyFill="1"/>
    <xf numFmtId="3" fontId="14" fillId="4" borderId="0" xfId="0" applyNumberFormat="1" applyFont="1" applyFill="1"/>
    <xf numFmtId="0" fontId="2" fillId="2" borderId="0" xfId="0" applyFont="1" applyFill="1" applyBorder="1" applyAlignment="1"/>
    <xf numFmtId="0" fontId="5" fillId="0" borderId="0" xfId="0" applyFont="1" applyFill="1"/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4" fillId="0" borderId="0" xfId="1" applyNumberFormat="1" applyFont="1"/>
    <xf numFmtId="0" fontId="7" fillId="0" borderId="0" xfId="0" applyFont="1" applyFill="1" applyBorder="1" applyAlignment="1">
      <alignment horizontal="center" vertical="center" wrapText="1"/>
    </xf>
    <xf numFmtId="4" fontId="4" fillId="0" borderId="0" xfId="0" applyNumberFormat="1" applyFont="1"/>
    <xf numFmtId="3" fontId="17" fillId="0" borderId="0" xfId="0" applyNumberFormat="1" applyFont="1" applyAlignment="1">
      <alignment horizontal="center"/>
    </xf>
    <xf numFmtId="0" fontId="17" fillId="0" borderId="0" xfId="0" applyFont="1"/>
    <xf numFmtId="0" fontId="4" fillId="0" borderId="2" xfId="0" applyFont="1" applyFill="1" applyBorder="1"/>
    <xf numFmtId="4" fontId="15" fillId="4" borderId="0" xfId="1" applyNumberFormat="1" applyFont="1" applyFill="1" applyBorder="1" applyProtection="1"/>
    <xf numFmtId="4" fontId="15" fillId="4" borderId="0" xfId="1" applyNumberFormat="1" applyFont="1" applyFill="1"/>
    <xf numFmtId="43" fontId="0" fillId="0" borderId="0" xfId="0" applyNumberFormat="1"/>
    <xf numFmtId="0" fontId="6" fillId="3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4" fillId="0" borderId="0" xfId="0" applyNumberFormat="1" applyFont="1" applyFill="1"/>
  </cellXfs>
  <cellStyles count="5">
    <cellStyle name="Millares" xfId="1" builtinId="3"/>
    <cellStyle name="Millares 2" xfId="4" xr:uid="{084BA8E3-8997-4732-A55D-DE9016E48811}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56C28-359D-44DA-AC34-69D3071FF7F0}">
  <dimension ref="B2:K22"/>
  <sheetViews>
    <sheetView zoomScale="110" zoomScaleNormal="110" workbookViewId="0">
      <selection activeCell="I5" sqref="I5:K15"/>
    </sheetView>
  </sheetViews>
  <sheetFormatPr baseColWidth="10" defaultColWidth="10.7109375" defaultRowHeight="15" x14ac:dyDescent="0.25"/>
  <cols>
    <col min="1" max="1" width="2" customWidth="1"/>
    <col min="2" max="2" width="43.5703125" customWidth="1"/>
    <col min="3" max="3" width="16" customWidth="1"/>
    <col min="4" max="4" width="8" customWidth="1"/>
    <col min="5" max="5" width="14.85546875" customWidth="1"/>
    <col min="6" max="6" width="8.5703125" customWidth="1"/>
    <col min="7" max="7" width="14.7109375" customWidth="1"/>
    <col min="8" max="8" width="12.5703125" customWidth="1"/>
    <col min="9" max="9" width="15.42578125" customWidth="1"/>
    <col min="10" max="10" width="15.28515625" bestFit="1" customWidth="1"/>
    <col min="11" max="11" width="15.140625" customWidth="1"/>
  </cols>
  <sheetData>
    <row r="2" spans="2:11" ht="16.5" customHeight="1" x14ac:dyDescent="0.25">
      <c r="B2" s="60" t="s">
        <v>24</v>
      </c>
      <c r="C2" s="60"/>
      <c r="D2" s="60"/>
      <c r="E2" s="60"/>
      <c r="F2" s="60"/>
      <c r="G2" s="60"/>
    </row>
    <row r="3" spans="2:11" ht="13.9" customHeight="1" x14ac:dyDescent="0.25">
      <c r="B3" s="60" t="s">
        <v>37</v>
      </c>
      <c r="C3" s="60"/>
      <c r="D3" s="60"/>
      <c r="E3" s="60"/>
      <c r="F3" s="60"/>
      <c r="G3" s="60"/>
    </row>
    <row r="4" spans="2:11" ht="13.9" customHeight="1" x14ac:dyDescent="0.25">
      <c r="B4" s="61" t="s">
        <v>25</v>
      </c>
      <c r="C4" s="61" t="s">
        <v>34</v>
      </c>
      <c r="D4" s="49" t="s">
        <v>26</v>
      </c>
      <c r="E4" s="49" t="s">
        <v>27</v>
      </c>
      <c r="F4" s="49" t="s">
        <v>26</v>
      </c>
      <c r="G4" s="49" t="s">
        <v>27</v>
      </c>
    </row>
    <row r="5" spans="2:11" x14ac:dyDescent="0.25">
      <c r="B5" s="61"/>
      <c r="C5" s="61"/>
      <c r="D5" s="49" t="s">
        <v>28</v>
      </c>
      <c r="E5" s="49" t="s">
        <v>28</v>
      </c>
      <c r="F5" s="49" t="s">
        <v>1</v>
      </c>
      <c r="G5" s="49" t="s">
        <v>1</v>
      </c>
      <c r="I5" s="52"/>
      <c r="J5" s="52"/>
      <c r="K5" s="52"/>
    </row>
    <row r="6" spans="2:11" x14ac:dyDescent="0.25">
      <c r="B6" s="23" t="s">
        <v>2</v>
      </c>
      <c r="C6" s="24">
        <v>5722834015</v>
      </c>
      <c r="D6" s="15">
        <v>0.78</v>
      </c>
      <c r="E6" s="14">
        <v>4463810532</v>
      </c>
      <c r="F6" s="15">
        <v>0.22</v>
      </c>
      <c r="G6" s="14">
        <v>1259023483</v>
      </c>
      <c r="H6" s="10"/>
      <c r="I6" s="22"/>
      <c r="J6" s="43"/>
      <c r="K6" s="43"/>
    </row>
    <row r="7" spans="2:11" x14ac:dyDescent="0.25">
      <c r="B7" s="23" t="s">
        <v>3</v>
      </c>
      <c r="C7" s="24">
        <v>384322595</v>
      </c>
      <c r="D7" s="15">
        <v>0</v>
      </c>
      <c r="E7" s="14">
        <v>0</v>
      </c>
      <c r="F7" s="15">
        <v>1</v>
      </c>
      <c r="G7" s="14">
        <v>384322595</v>
      </c>
      <c r="H7" s="10"/>
      <c r="I7" s="22"/>
      <c r="J7" s="43"/>
      <c r="K7" s="43"/>
    </row>
    <row r="8" spans="2:11" x14ac:dyDescent="0.25">
      <c r="B8" s="23" t="s">
        <v>4</v>
      </c>
      <c r="C8" s="24">
        <v>283650932</v>
      </c>
      <c r="D8" s="15">
        <v>0.78</v>
      </c>
      <c r="E8" s="14">
        <v>221247727</v>
      </c>
      <c r="F8" s="15">
        <v>0.22</v>
      </c>
      <c r="G8" s="14">
        <v>62403205</v>
      </c>
      <c r="H8" s="10"/>
      <c r="I8" s="22"/>
      <c r="J8" s="43"/>
      <c r="K8" s="43"/>
    </row>
    <row r="9" spans="2:11" x14ac:dyDescent="0.25">
      <c r="B9" s="23" t="s">
        <v>29</v>
      </c>
      <c r="C9" s="24">
        <v>142013150</v>
      </c>
      <c r="D9" s="15">
        <v>0.78</v>
      </c>
      <c r="E9" s="14">
        <v>110770257</v>
      </c>
      <c r="F9" s="15">
        <v>0.22</v>
      </c>
      <c r="G9" s="14">
        <v>31242893</v>
      </c>
      <c r="H9" s="10"/>
      <c r="I9" s="22"/>
      <c r="J9" s="43"/>
      <c r="K9" s="43"/>
    </row>
    <row r="10" spans="2:11" x14ac:dyDescent="0.25">
      <c r="B10" s="23" t="s">
        <v>30</v>
      </c>
      <c r="C10" s="24">
        <v>21073992</v>
      </c>
      <c r="D10" s="15">
        <v>0.8</v>
      </c>
      <c r="E10" s="14">
        <v>16859194</v>
      </c>
      <c r="F10" s="15">
        <v>0.2</v>
      </c>
      <c r="G10" s="14">
        <v>4214798</v>
      </c>
      <c r="H10" s="10"/>
      <c r="I10" s="22"/>
      <c r="J10" s="43"/>
      <c r="K10" s="43"/>
    </row>
    <row r="11" spans="2:11" x14ac:dyDescent="0.25">
      <c r="B11" s="23" t="s">
        <v>31</v>
      </c>
      <c r="C11" s="24">
        <v>121435830</v>
      </c>
      <c r="D11" s="25">
        <v>0.8</v>
      </c>
      <c r="E11" s="14">
        <v>97148664</v>
      </c>
      <c r="F11" s="15">
        <v>0.2</v>
      </c>
      <c r="G11" s="14">
        <v>24287166</v>
      </c>
      <c r="H11" s="10"/>
      <c r="I11" s="22"/>
      <c r="J11" s="43"/>
      <c r="K11" s="43"/>
    </row>
    <row r="12" spans="2:11" x14ac:dyDescent="0.25">
      <c r="B12" s="23" t="s">
        <v>32</v>
      </c>
      <c r="C12" s="24">
        <v>331787186</v>
      </c>
      <c r="D12" s="25">
        <v>0.8</v>
      </c>
      <c r="E12" s="14">
        <v>265429749</v>
      </c>
      <c r="F12" s="15">
        <v>0.2</v>
      </c>
      <c r="G12" s="14">
        <v>66357437</v>
      </c>
      <c r="H12" s="10"/>
      <c r="I12" s="22"/>
      <c r="J12" s="43"/>
      <c r="K12" s="43"/>
    </row>
    <row r="13" spans="2:11" x14ac:dyDescent="0.25">
      <c r="B13" s="23" t="s">
        <v>39</v>
      </c>
      <c r="C13" s="24">
        <v>20372596</v>
      </c>
      <c r="D13" s="15">
        <v>0.78</v>
      </c>
      <c r="E13" s="14">
        <v>15890625</v>
      </c>
      <c r="F13" s="25">
        <v>0.22</v>
      </c>
      <c r="G13" s="14">
        <v>4481971</v>
      </c>
      <c r="H13" s="11"/>
      <c r="I13" s="22"/>
      <c r="J13" s="43"/>
      <c r="K13" s="43"/>
    </row>
    <row r="14" spans="2:11" x14ac:dyDescent="0.25">
      <c r="B14" s="23" t="s">
        <v>33</v>
      </c>
      <c r="C14" s="24">
        <v>574109719</v>
      </c>
      <c r="D14" s="25"/>
      <c r="E14" s="24">
        <v>401770747</v>
      </c>
      <c r="F14" s="26"/>
      <c r="G14" s="14">
        <v>172338972</v>
      </c>
      <c r="H14" s="11"/>
      <c r="I14" s="22"/>
      <c r="J14" s="43"/>
      <c r="K14" s="43"/>
    </row>
    <row r="15" spans="2:11" x14ac:dyDescent="0.25">
      <c r="B15" s="16" t="s">
        <v>23</v>
      </c>
      <c r="C15" s="17">
        <f>SUM(C6:C14)</f>
        <v>7601600015</v>
      </c>
      <c r="D15" s="18"/>
      <c r="E15" s="17">
        <f>SUM(E6:E14)</f>
        <v>5592927495</v>
      </c>
      <c r="F15" s="19"/>
      <c r="G15" s="17">
        <f>SUM(G6:G14)</f>
        <v>2008672520</v>
      </c>
      <c r="H15" s="12"/>
      <c r="I15" s="22"/>
      <c r="J15" s="43"/>
      <c r="K15" s="43"/>
    </row>
    <row r="17" spans="2:3" x14ac:dyDescent="0.25">
      <c r="B17" s="13" t="s">
        <v>40</v>
      </c>
    </row>
    <row r="19" spans="2:3" x14ac:dyDescent="0.25">
      <c r="C19" s="27"/>
    </row>
    <row r="20" spans="2:3" x14ac:dyDescent="0.25">
      <c r="B20" s="55"/>
      <c r="C20" s="54"/>
    </row>
    <row r="21" spans="2:3" x14ac:dyDescent="0.25">
      <c r="C21" s="8"/>
    </row>
    <row r="22" spans="2:3" x14ac:dyDescent="0.25">
      <c r="C22" s="8"/>
    </row>
  </sheetData>
  <mergeCells count="4">
    <mergeCell ref="B2:G2"/>
    <mergeCell ref="B3:G3"/>
    <mergeCell ref="B4:B5"/>
    <mergeCell ref="C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2920-6BFE-40CB-99AA-771E7226D468}">
  <dimension ref="A1:P59"/>
  <sheetViews>
    <sheetView tabSelected="1" topLeftCell="B19" zoomScale="120" zoomScaleNormal="120" workbookViewId="0">
      <selection activeCell="D32" sqref="D32"/>
    </sheetView>
  </sheetViews>
  <sheetFormatPr baseColWidth="10" defaultColWidth="10.7109375" defaultRowHeight="15" x14ac:dyDescent="0.25"/>
  <cols>
    <col min="1" max="1" width="11.5703125" hidden="1" customWidth="1"/>
    <col min="2" max="2" width="12.42578125" customWidth="1"/>
    <col min="3" max="3" width="10.42578125" bestFit="1" customWidth="1"/>
    <col min="4" max="4" width="12.140625" customWidth="1"/>
    <col min="5" max="5" width="10.42578125" bestFit="1" customWidth="1"/>
    <col min="6" max="6" width="14.7109375" bestFit="1" customWidth="1"/>
    <col min="7" max="7" width="10.42578125" bestFit="1" customWidth="1"/>
    <col min="8" max="8" width="15" customWidth="1"/>
    <col min="9" max="9" width="10.42578125" bestFit="1" customWidth="1"/>
    <col min="10" max="11" width="14" customWidth="1"/>
    <col min="12" max="12" width="13.85546875" customWidth="1"/>
    <col min="13" max="13" width="13" bestFit="1" customWidth="1"/>
    <col min="15" max="15" width="14" bestFit="1" customWidth="1"/>
  </cols>
  <sheetData>
    <row r="1" spans="2:15" x14ac:dyDescent="0.25">
      <c r="B1" s="63" t="s">
        <v>0</v>
      </c>
      <c r="C1" s="63"/>
      <c r="D1" s="63"/>
      <c r="E1" s="63"/>
      <c r="F1" s="63"/>
      <c r="G1" s="63"/>
      <c r="H1" s="63"/>
      <c r="I1" s="63"/>
      <c r="J1" s="63"/>
    </row>
    <row r="2" spans="2:15" x14ac:dyDescent="0.25">
      <c r="B2" s="66" t="s">
        <v>38</v>
      </c>
      <c r="C2" s="66"/>
      <c r="D2" s="66"/>
      <c r="E2" s="66"/>
      <c r="F2" s="66"/>
      <c r="G2" s="66"/>
      <c r="H2" s="66"/>
      <c r="I2" s="66"/>
      <c r="J2" s="66"/>
    </row>
    <row r="3" spans="2:15" ht="32.25" customHeight="1" x14ac:dyDescent="0.25">
      <c r="B3" s="62" t="s">
        <v>1</v>
      </c>
      <c r="C3" s="62" t="s">
        <v>2</v>
      </c>
      <c r="D3" s="62"/>
      <c r="E3" s="62" t="s">
        <v>3</v>
      </c>
      <c r="F3" s="62"/>
      <c r="G3" s="62" t="s">
        <v>4</v>
      </c>
      <c r="H3" s="62"/>
      <c r="I3" s="62" t="s">
        <v>5</v>
      </c>
      <c r="J3" s="62"/>
    </row>
    <row r="4" spans="2:15" x14ac:dyDescent="0.25">
      <c r="B4" s="62"/>
      <c r="C4" s="32" t="s">
        <v>6</v>
      </c>
      <c r="D4" s="50" t="s">
        <v>7</v>
      </c>
      <c r="E4" s="32" t="s">
        <v>6</v>
      </c>
      <c r="F4" s="50" t="s">
        <v>7</v>
      </c>
      <c r="G4" s="32" t="s">
        <v>6</v>
      </c>
      <c r="H4" s="50" t="s">
        <v>7</v>
      </c>
      <c r="I4" s="32" t="s">
        <v>6</v>
      </c>
      <c r="J4" s="50" t="s">
        <v>7</v>
      </c>
    </row>
    <row r="5" spans="2:15" x14ac:dyDescent="0.25">
      <c r="B5" s="1" t="s">
        <v>8</v>
      </c>
      <c r="C5" s="34">
        <v>5.8496960000000001E-2</v>
      </c>
      <c r="D5" s="35">
        <f t="shared" ref="D5:D13" si="0">$D$16*C5</f>
        <v>73649046.324111685</v>
      </c>
      <c r="E5" s="36">
        <v>5.430248E-2</v>
      </c>
      <c r="F5" s="35">
        <f t="shared" ref="F5:F12" si="1">$F$16*E5</f>
        <v>20869670.028535601</v>
      </c>
      <c r="G5" s="36">
        <v>5.5960959999999997E-2</v>
      </c>
      <c r="H5" s="35">
        <f t="shared" ref="H5:H14" si="2">$H$16*G5</f>
        <v>3492143.2588767996</v>
      </c>
      <c r="I5" s="36">
        <v>5.9176619999999999E-2</v>
      </c>
      <c r="J5" s="35">
        <f t="shared" ref="J5:J14" si="3">$J$16*I5</f>
        <v>1848848.8067616599</v>
      </c>
      <c r="L5" s="53"/>
      <c r="M5" s="53"/>
      <c r="N5" s="53"/>
      <c r="O5" s="53"/>
    </row>
    <row r="6" spans="2:15" x14ac:dyDescent="0.25">
      <c r="B6" s="1" t="s">
        <v>9</v>
      </c>
      <c r="C6" s="34">
        <v>0.17924286</v>
      </c>
      <c r="D6" s="35">
        <f t="shared" si="0"/>
        <v>225670969.9000814</v>
      </c>
      <c r="E6" s="36">
        <v>0.19929042</v>
      </c>
      <c r="F6" s="35">
        <f t="shared" si="1"/>
        <v>76591811.373039901</v>
      </c>
      <c r="G6" s="36">
        <v>0.17320807999999999</v>
      </c>
      <c r="H6" s="35">
        <f t="shared" si="2"/>
        <v>10808739.323896399</v>
      </c>
      <c r="I6" s="36">
        <v>0.14319461</v>
      </c>
      <c r="J6" s="35">
        <f t="shared" si="3"/>
        <v>4473813.8784067295</v>
      </c>
      <c r="L6" s="53"/>
      <c r="M6" s="53"/>
      <c r="N6" s="53"/>
      <c r="O6" s="53"/>
    </row>
    <row r="7" spans="2:15" x14ac:dyDescent="0.25">
      <c r="B7" s="56" t="s">
        <v>10</v>
      </c>
      <c r="C7" s="34">
        <v>5.3810450000000003E-2</v>
      </c>
      <c r="D7" s="40">
        <f>$D$16*C7</f>
        <v>67748620.180797353</v>
      </c>
      <c r="E7" s="36">
        <v>4.8046390000000001E-2</v>
      </c>
      <c r="F7" s="35">
        <f t="shared" si="1"/>
        <v>18465313.285182051</v>
      </c>
      <c r="G7" s="36">
        <v>6.4833109999999999E-2</v>
      </c>
      <c r="H7" s="35">
        <f t="shared" si="2"/>
        <v>4045793.85411755</v>
      </c>
      <c r="I7" s="36">
        <v>6.4860680000000004E-2</v>
      </c>
      <c r="J7" s="40">
        <f>($J$16*I7)</f>
        <v>2026435.2851472402</v>
      </c>
      <c r="L7" s="53"/>
      <c r="M7" s="53"/>
      <c r="N7" s="53"/>
      <c r="O7" s="53"/>
    </row>
    <row r="8" spans="2:15" x14ac:dyDescent="0.25">
      <c r="B8" s="56" t="s">
        <v>11</v>
      </c>
      <c r="C8" s="34">
        <v>5.028817E-2</v>
      </c>
      <c r="D8" s="35">
        <f t="shared" si="0"/>
        <v>63313986.947096109</v>
      </c>
      <c r="E8" s="36">
        <v>4.7917269999999998E-2</v>
      </c>
      <c r="F8" s="35">
        <f t="shared" si="1"/>
        <v>18415689.55171565</v>
      </c>
      <c r="G8" s="36">
        <v>5.1695280000000003E-2</v>
      </c>
      <c r="H8" s="35">
        <f t="shared" si="2"/>
        <v>3225951.1553724003</v>
      </c>
      <c r="I8" s="36">
        <v>5.781E-2</v>
      </c>
      <c r="J8" s="40">
        <f>($J$16*I8)-0.15</f>
        <v>1806151.4943300001</v>
      </c>
      <c r="L8" s="53"/>
      <c r="M8" s="53"/>
      <c r="N8" s="53"/>
      <c r="O8" s="53"/>
    </row>
    <row r="9" spans="2:15" x14ac:dyDescent="0.25">
      <c r="B9" s="1" t="s">
        <v>12</v>
      </c>
      <c r="C9" s="34">
        <v>6.1069020000000002E-2</v>
      </c>
      <c r="D9" s="35">
        <f t="shared" si="0"/>
        <v>76887330.263796657</v>
      </c>
      <c r="E9" s="36">
        <v>5.3957270000000002E-2</v>
      </c>
      <c r="F9" s="35">
        <f t="shared" si="1"/>
        <v>20736998.025515649</v>
      </c>
      <c r="G9" s="36">
        <v>5.7009690000000002E-2</v>
      </c>
      <c r="H9" s="35">
        <f t="shared" si="2"/>
        <v>3557587.3720564502</v>
      </c>
      <c r="I9" s="36">
        <v>7.1276720000000002E-2</v>
      </c>
      <c r="J9" s="35">
        <f t="shared" si="3"/>
        <v>2226890.9363509603</v>
      </c>
      <c r="L9" s="53"/>
      <c r="M9" s="53"/>
      <c r="N9" s="53"/>
      <c r="O9" s="53"/>
    </row>
    <row r="10" spans="2:15" x14ac:dyDescent="0.25">
      <c r="B10" s="56" t="s">
        <v>13</v>
      </c>
      <c r="C10" s="34">
        <v>6.9218539999999995E-2</v>
      </c>
      <c r="D10" s="40">
        <f>$D$16*C10</f>
        <v>87147767.318974808</v>
      </c>
      <c r="E10" s="36">
        <v>6.2529940000000006E-2</v>
      </c>
      <c r="F10" s="40">
        <f>$F$16*E10</f>
        <v>24031668.805994302</v>
      </c>
      <c r="G10" s="36">
        <v>7.6210180000000002E-2</v>
      </c>
      <c r="H10" s="40">
        <f>$H$16*G10+0.02</f>
        <v>4755759.5056269001</v>
      </c>
      <c r="I10" s="36">
        <v>8.9840489999999995E-2</v>
      </c>
      <c r="J10" s="35">
        <f t="shared" si="3"/>
        <v>2806876.81613757</v>
      </c>
      <c r="L10" s="53"/>
      <c r="M10" s="53"/>
      <c r="N10" s="53"/>
      <c r="O10" s="53"/>
    </row>
    <row r="11" spans="2:15" x14ac:dyDescent="0.25">
      <c r="B11" s="56" t="s">
        <v>14</v>
      </c>
      <c r="C11" s="34">
        <v>0.20357143</v>
      </c>
      <c r="D11" s="40">
        <f>$D$16*C11</f>
        <v>256301210.83789068</v>
      </c>
      <c r="E11" s="36">
        <v>0.22109207</v>
      </c>
      <c r="F11" s="40">
        <f>$F$16*E11</f>
        <v>84970678.076321647</v>
      </c>
      <c r="G11" s="36">
        <v>0.19363172000000001</v>
      </c>
      <c r="H11" s="40">
        <f>$H$16*G11</f>
        <v>12083239.9176626</v>
      </c>
      <c r="I11" s="36">
        <v>0.16212894</v>
      </c>
      <c r="J11" s="40">
        <f>$J$16*I11</f>
        <v>5065377.1246234197</v>
      </c>
      <c r="L11" s="53"/>
      <c r="M11" s="53"/>
      <c r="N11" s="53"/>
      <c r="O11" s="53"/>
    </row>
    <row r="12" spans="2:15" x14ac:dyDescent="0.25">
      <c r="B12" s="1" t="s">
        <v>15</v>
      </c>
      <c r="C12" s="34">
        <v>5.8140299999999999E-2</v>
      </c>
      <c r="D12" s="35">
        <f t="shared" si="0"/>
        <v>73200003.008664906</v>
      </c>
      <c r="E12" s="36">
        <v>4.468457E-2</v>
      </c>
      <c r="F12" s="35">
        <f t="shared" si="1"/>
        <v>17173289.898859151</v>
      </c>
      <c r="G12" s="36">
        <v>6.805311E-2</v>
      </c>
      <c r="H12" s="35">
        <f t="shared" si="2"/>
        <v>4246732.1742175501</v>
      </c>
      <c r="I12" s="36">
        <v>8.8924180000000005E-2</v>
      </c>
      <c r="J12" s="35">
        <f t="shared" si="3"/>
        <v>2778248.64085274</v>
      </c>
      <c r="L12" s="53"/>
      <c r="M12" s="53"/>
      <c r="N12" s="53"/>
      <c r="O12" s="53"/>
    </row>
    <row r="13" spans="2:15" x14ac:dyDescent="0.25">
      <c r="B13" s="56" t="s">
        <v>16</v>
      </c>
      <c r="C13" s="34">
        <v>0.13316669</v>
      </c>
      <c r="D13" s="35">
        <f t="shared" si="0"/>
        <v>167659989.86338127</v>
      </c>
      <c r="E13" s="36">
        <v>0.13803557</v>
      </c>
      <c r="F13" s="40">
        <f>$F$16*E13</f>
        <v>53050188.464704148</v>
      </c>
      <c r="G13" s="36">
        <v>0.12164118</v>
      </c>
      <c r="H13" s="40">
        <f>$H$16*G13+0.02</f>
        <v>7590799.5119818999</v>
      </c>
      <c r="I13" s="36">
        <v>0.12225248</v>
      </c>
      <c r="J13" s="35">
        <f t="shared" si="3"/>
        <v>3819521.15162464</v>
      </c>
      <c r="K13" s="2"/>
      <c r="L13" s="53"/>
      <c r="M13" s="53"/>
      <c r="N13" s="53"/>
      <c r="O13" s="53"/>
    </row>
    <row r="14" spans="2:15" x14ac:dyDescent="0.25">
      <c r="B14" s="56" t="s">
        <v>17</v>
      </c>
      <c r="C14" s="34">
        <v>0.13299558</v>
      </c>
      <c r="D14" s="40">
        <f>$D$16*C14+0.15</f>
        <v>167444558.50520515</v>
      </c>
      <c r="E14" s="36">
        <v>0.13014402</v>
      </c>
      <c r="F14" s="40">
        <f>$F$16*E14+0.02</f>
        <v>50017287.510131903</v>
      </c>
      <c r="G14" s="36">
        <v>0.13775668999999999</v>
      </c>
      <c r="H14" s="35">
        <f t="shared" si="2"/>
        <v>8596458.9661914483</v>
      </c>
      <c r="I14" s="36">
        <v>0.14053528000000001</v>
      </c>
      <c r="J14" s="35">
        <f t="shared" si="3"/>
        <v>4390728.7157650404</v>
      </c>
      <c r="L14" s="53"/>
      <c r="M14" s="53"/>
      <c r="N14" s="53"/>
      <c r="O14" s="53"/>
    </row>
    <row r="15" spans="2:15" x14ac:dyDescent="0.25">
      <c r="B15" s="33" t="s">
        <v>18</v>
      </c>
      <c r="C15" s="37">
        <f t="shared" ref="C15:I15" si="4">SUM(C5:C14)</f>
        <v>1</v>
      </c>
      <c r="D15" s="38">
        <f>SUM(D5:D14)</f>
        <v>1259023483.1500001</v>
      </c>
      <c r="E15" s="37">
        <f t="shared" si="4"/>
        <v>1</v>
      </c>
      <c r="F15" s="38">
        <f>SUM(F5:F14)</f>
        <v>384322595.01999998</v>
      </c>
      <c r="G15" s="37">
        <f t="shared" si="4"/>
        <v>1</v>
      </c>
      <c r="H15" s="38">
        <f>SUM(H5:H14)</f>
        <v>62403205.039999992</v>
      </c>
      <c r="I15" s="37">
        <f t="shared" si="4"/>
        <v>1</v>
      </c>
      <c r="J15" s="38">
        <f>SUM(J5:J14)</f>
        <v>31242892.850000001</v>
      </c>
      <c r="L15" s="53"/>
      <c r="M15" s="53"/>
      <c r="N15" s="53"/>
      <c r="O15" s="53"/>
    </row>
    <row r="16" spans="2:15" x14ac:dyDescent="0.25">
      <c r="B16" s="3"/>
      <c r="C16" s="3"/>
      <c r="D16" s="44">
        <f>'2025'!G6</f>
        <v>1259023483</v>
      </c>
      <c r="E16" s="45"/>
      <c r="F16" s="44">
        <f>'2025'!G7</f>
        <v>384322595</v>
      </c>
      <c r="G16" s="45"/>
      <c r="H16" s="44">
        <f>'2025'!G8</f>
        <v>62403205</v>
      </c>
      <c r="I16" s="45"/>
      <c r="J16" s="44">
        <f>'2025'!G9</f>
        <v>31242893</v>
      </c>
      <c r="K16" s="8"/>
      <c r="L16" s="53"/>
      <c r="M16" s="53"/>
      <c r="N16" s="53"/>
      <c r="O16" s="53"/>
    </row>
    <row r="17" spans="2:15" s="29" customFormat="1" x14ac:dyDescent="0.25">
      <c r="B17" s="48"/>
      <c r="C17" s="48"/>
      <c r="D17" s="31"/>
      <c r="E17" s="30"/>
      <c r="F17" s="31"/>
      <c r="G17" s="30"/>
      <c r="H17" s="31"/>
      <c r="I17" s="30"/>
      <c r="J17" s="31"/>
      <c r="K17" s="42"/>
      <c r="L17" s="42"/>
      <c r="M17" s="42"/>
      <c r="N17" s="42"/>
    </row>
    <row r="18" spans="2:15" x14ac:dyDescent="0.25">
      <c r="B18" s="63" t="s">
        <v>0</v>
      </c>
      <c r="C18" s="63"/>
      <c r="D18" s="63"/>
      <c r="E18" s="63"/>
      <c r="F18" s="63"/>
      <c r="G18" s="63"/>
      <c r="H18" s="63"/>
      <c r="I18" s="63"/>
      <c r="J18" s="63"/>
      <c r="K18" s="47"/>
    </row>
    <row r="19" spans="2:15" x14ac:dyDescent="0.25">
      <c r="B19" s="63" t="s">
        <v>38</v>
      </c>
      <c r="C19" s="63"/>
      <c r="D19" s="63"/>
      <c r="E19" s="63"/>
      <c r="F19" s="63"/>
      <c r="G19" s="63"/>
      <c r="H19" s="63"/>
      <c r="I19" s="63"/>
      <c r="J19" s="63"/>
      <c r="K19" s="47"/>
    </row>
    <row r="20" spans="2:15" ht="29.25" customHeight="1" x14ac:dyDescent="0.25">
      <c r="B20" s="62" t="s">
        <v>1</v>
      </c>
      <c r="C20" s="62" t="s">
        <v>19</v>
      </c>
      <c r="D20" s="62"/>
      <c r="E20" s="62" t="s">
        <v>20</v>
      </c>
      <c r="F20" s="62"/>
      <c r="G20" s="62" t="s">
        <v>21</v>
      </c>
      <c r="H20" s="62"/>
      <c r="I20" s="64" t="s">
        <v>35</v>
      </c>
      <c r="J20" s="65"/>
    </row>
    <row r="21" spans="2:15" x14ac:dyDescent="0.25">
      <c r="B21" s="62"/>
      <c r="C21" s="32" t="s">
        <v>6</v>
      </c>
      <c r="D21" s="50" t="s">
        <v>7</v>
      </c>
      <c r="E21" s="32" t="s">
        <v>6</v>
      </c>
      <c r="F21" s="50" t="s">
        <v>7</v>
      </c>
      <c r="G21" s="32" t="s">
        <v>6</v>
      </c>
      <c r="H21" s="50" t="s">
        <v>7</v>
      </c>
      <c r="I21" s="32" t="s">
        <v>6</v>
      </c>
      <c r="J21" s="50" t="s">
        <v>7</v>
      </c>
    </row>
    <row r="22" spans="2:15" x14ac:dyDescent="0.25">
      <c r="B22" s="1" t="s">
        <v>8</v>
      </c>
      <c r="C22" s="36">
        <v>7.0029090000000002E-2</v>
      </c>
      <c r="D22" s="35">
        <f t="shared" ref="D22:D31" si="5">$D$33*C22</f>
        <v>4646950.9278423302</v>
      </c>
      <c r="E22" s="36">
        <v>5.7490949999999999E-2</v>
      </c>
      <c r="F22" s="35">
        <f t="shared" ref="F22:F31" si="6">$F$33*E22</f>
        <v>242312.74107809999</v>
      </c>
      <c r="G22" s="36">
        <v>5.7490949999999999E-2</v>
      </c>
      <c r="H22" s="40">
        <f>($H$33*G22)</f>
        <v>1396292.2461476999</v>
      </c>
      <c r="I22" s="39">
        <f t="shared" ref="I22:I31" si="7">J22/$J$33</f>
        <v>3.5864354581388591E-2</v>
      </c>
      <c r="J22" s="40">
        <v>6180826</v>
      </c>
      <c r="L22" s="53"/>
      <c r="M22" s="53"/>
      <c r="N22" s="53"/>
      <c r="O22" s="53"/>
    </row>
    <row r="23" spans="2:15" x14ac:dyDescent="0.25">
      <c r="B23" s="1" t="s">
        <v>9</v>
      </c>
      <c r="C23" s="36">
        <v>0.16418042999999999</v>
      </c>
      <c r="D23" s="35">
        <f t="shared" si="5"/>
        <v>10894592.54035791</v>
      </c>
      <c r="E23" s="36">
        <v>0.15377829000000001</v>
      </c>
      <c r="F23" s="35">
        <f t="shared" si="6"/>
        <v>648144.42913542001</v>
      </c>
      <c r="G23" s="36">
        <v>0.15377829000000001</v>
      </c>
      <c r="H23" s="35">
        <f t="shared" ref="H23:H31" si="8">$H$33*G23</f>
        <v>3734838.8564261403</v>
      </c>
      <c r="I23" s="39">
        <f t="shared" si="7"/>
        <v>0.17347112874736192</v>
      </c>
      <c r="J23" s="40">
        <v>29895836</v>
      </c>
      <c r="L23" s="53"/>
      <c r="M23" s="53"/>
      <c r="N23" s="53"/>
      <c r="O23" s="53"/>
    </row>
    <row r="24" spans="2:15" x14ac:dyDescent="0.25">
      <c r="B24" s="56" t="s">
        <v>10</v>
      </c>
      <c r="C24" s="36">
        <v>4.8844869999999999E-2</v>
      </c>
      <c r="D24" s="40">
        <f>$D$33*C24</f>
        <v>3241220.3837981899</v>
      </c>
      <c r="E24" s="36">
        <v>5.5431429999999997E-2</v>
      </c>
      <c r="F24" s="35">
        <f t="shared" si="6"/>
        <v>233632.28030113998</v>
      </c>
      <c r="G24" s="36">
        <v>5.5431429999999997E-2</v>
      </c>
      <c r="H24" s="40">
        <f>$H$33*G24</f>
        <v>1346272.3420273799</v>
      </c>
      <c r="I24" s="39">
        <f t="shared" si="7"/>
        <v>3.0570554871361309E-2</v>
      </c>
      <c r="J24" s="40">
        <v>5268498</v>
      </c>
      <c r="L24" s="53"/>
      <c r="M24" s="53"/>
      <c r="N24" s="53"/>
      <c r="O24" s="53"/>
    </row>
    <row r="25" spans="2:15" x14ac:dyDescent="0.25">
      <c r="B25" s="56" t="s">
        <v>11</v>
      </c>
      <c r="C25" s="36">
        <v>5.3335500000000001E-2</v>
      </c>
      <c r="D25" s="35">
        <f t="shared" si="5"/>
        <v>3539207.0811135001</v>
      </c>
      <c r="E25" s="36">
        <v>5.1610919999999998E-2</v>
      </c>
      <c r="F25" s="40">
        <f>$F$33*E25</f>
        <v>217529.60239416</v>
      </c>
      <c r="G25" s="36">
        <v>5.1610919999999998E-2</v>
      </c>
      <c r="H25" s="35">
        <f t="shared" si="8"/>
        <v>1253482.98145272</v>
      </c>
      <c r="I25" s="39">
        <f t="shared" si="7"/>
        <v>2.7746974143492049E-2</v>
      </c>
      <c r="J25" s="40">
        <v>4781885</v>
      </c>
      <c r="L25" s="53"/>
      <c r="M25" s="53"/>
      <c r="N25" s="53"/>
      <c r="O25" s="53"/>
    </row>
    <row r="26" spans="2:15" x14ac:dyDescent="0.25">
      <c r="B26" s="1" t="s">
        <v>12</v>
      </c>
      <c r="C26" s="36">
        <v>9.5872410000000005E-2</v>
      </c>
      <c r="D26" s="35">
        <f t="shared" si="5"/>
        <v>6361847.4066131702</v>
      </c>
      <c r="E26" s="36">
        <v>6.0792499999999999E-2</v>
      </c>
      <c r="F26" s="35">
        <f t="shared" si="6"/>
        <v>256228.10741500001</v>
      </c>
      <c r="G26" s="36">
        <v>6.0792499999999999E-2</v>
      </c>
      <c r="H26" s="35">
        <f t="shared" si="8"/>
        <v>1476477.5390550001</v>
      </c>
      <c r="I26" s="39">
        <f t="shared" si="7"/>
        <v>4.4737414355703595E-2</v>
      </c>
      <c r="J26" s="40">
        <v>7710000</v>
      </c>
      <c r="L26" s="53"/>
      <c r="M26" s="53"/>
      <c r="N26" s="53"/>
      <c r="O26" s="53"/>
    </row>
    <row r="27" spans="2:15" x14ac:dyDescent="0.25">
      <c r="B27" s="56" t="s">
        <v>13</v>
      </c>
      <c r="C27" s="36">
        <v>6.0955240000000001E-2</v>
      </c>
      <c r="D27" s="35">
        <f t="shared" si="5"/>
        <v>4044833.49811988</v>
      </c>
      <c r="E27" s="36">
        <v>9.7569340000000004E-2</v>
      </c>
      <c r="F27" s="35">
        <f t="shared" si="6"/>
        <v>411235.05909332004</v>
      </c>
      <c r="G27" s="36">
        <v>9.7569340000000004E-2</v>
      </c>
      <c r="H27" s="35">
        <f t="shared" si="8"/>
        <v>2369682.75709044</v>
      </c>
      <c r="I27" s="39">
        <f t="shared" si="7"/>
        <v>3.7261699576576331E-2</v>
      </c>
      <c r="J27" s="40">
        <v>6421643</v>
      </c>
      <c r="L27" s="53"/>
      <c r="M27" s="53"/>
      <c r="N27" s="53"/>
      <c r="O27" s="53"/>
    </row>
    <row r="28" spans="2:15" x14ac:dyDescent="0.25">
      <c r="B28" s="56" t="s">
        <v>14</v>
      </c>
      <c r="C28" s="36">
        <v>0.20371222999999999</v>
      </c>
      <c r="D28" s="40">
        <f>$D$33*C28+0.04</f>
        <v>13517821.508354509</v>
      </c>
      <c r="E28" s="36">
        <v>0.17992926000000001</v>
      </c>
      <c r="F28" s="40">
        <f>$F$33*E28+0.02</f>
        <v>758365.50518948003</v>
      </c>
      <c r="G28" s="36">
        <v>0.17992926000000001</v>
      </c>
      <c r="H28" s="35">
        <f t="shared" si="8"/>
        <v>4369971.8058771603</v>
      </c>
      <c r="I28" s="39">
        <f t="shared" si="7"/>
        <v>0.40223220085123867</v>
      </c>
      <c r="J28" s="40">
        <v>69320284</v>
      </c>
      <c r="L28" s="53"/>
      <c r="M28" s="53"/>
      <c r="N28" s="53"/>
      <c r="O28" s="53"/>
    </row>
    <row r="29" spans="2:15" x14ac:dyDescent="0.25">
      <c r="B29" s="1" t="s">
        <v>15</v>
      </c>
      <c r="C29" s="36">
        <v>9.7919099999999992E-3</v>
      </c>
      <c r="D29" s="35">
        <f t="shared" si="5"/>
        <v>649766.05093466991</v>
      </c>
      <c r="E29" s="36">
        <v>8.3359089999999997E-2</v>
      </c>
      <c r="F29" s="35">
        <f t="shared" si="6"/>
        <v>351341.72581381997</v>
      </c>
      <c r="G29" s="36">
        <v>8.3359089999999997E-2</v>
      </c>
      <c r="H29" s="35">
        <f t="shared" si="8"/>
        <v>2024556.0564389399</v>
      </c>
      <c r="I29" s="39">
        <f t="shared" si="7"/>
        <v>2.7039734227960927E-2</v>
      </c>
      <c r="J29" s="40">
        <v>4660000</v>
      </c>
      <c r="L29" s="53"/>
      <c r="M29" s="53"/>
      <c r="N29" s="53"/>
      <c r="O29" s="53"/>
    </row>
    <row r="30" spans="2:15" x14ac:dyDescent="0.25">
      <c r="B30" s="56" t="s">
        <v>16</v>
      </c>
      <c r="C30" s="36">
        <v>0.13360172000000001</v>
      </c>
      <c r="D30" s="35">
        <f t="shared" si="5"/>
        <v>8865467.7179916408</v>
      </c>
      <c r="E30" s="36">
        <v>0.12082935</v>
      </c>
      <c r="F30" s="35">
        <f t="shared" si="6"/>
        <v>509271.30272129999</v>
      </c>
      <c r="G30" s="36">
        <v>0.12082935</v>
      </c>
      <c r="H30" s="35">
        <f t="shared" si="8"/>
        <v>2934602.4811221003</v>
      </c>
      <c r="I30" s="39">
        <f t="shared" si="7"/>
        <v>9.57415482320505E-2</v>
      </c>
      <c r="J30" s="40">
        <v>16500000</v>
      </c>
      <c r="L30" s="53"/>
      <c r="M30" s="53"/>
      <c r="N30" s="53"/>
      <c r="O30" s="53"/>
    </row>
    <row r="31" spans="2:15" x14ac:dyDescent="0.25">
      <c r="B31" s="56" t="s">
        <v>17</v>
      </c>
      <c r="C31" s="36">
        <v>0.1596766</v>
      </c>
      <c r="D31" s="35">
        <f t="shared" si="5"/>
        <v>10595729.9248742</v>
      </c>
      <c r="E31" s="36">
        <v>0.13920887000000001</v>
      </c>
      <c r="F31" s="35">
        <f t="shared" si="6"/>
        <v>586737.26685826003</v>
      </c>
      <c r="G31" s="36">
        <v>0.13920887000000001</v>
      </c>
      <c r="H31" s="35">
        <f t="shared" si="8"/>
        <v>3380988.9343624203</v>
      </c>
      <c r="I31" s="39">
        <f t="shared" si="7"/>
        <v>0.12533439041286609</v>
      </c>
      <c r="J31" s="40">
        <v>21600000</v>
      </c>
      <c r="L31" s="53"/>
      <c r="M31" s="53"/>
      <c r="N31" s="53"/>
      <c r="O31" s="53"/>
    </row>
    <row r="32" spans="2:15" x14ac:dyDescent="0.25">
      <c r="B32" s="33" t="s">
        <v>22</v>
      </c>
      <c r="C32" s="37">
        <f t="shared" ref="C32:G32" si="9">SUM(C22:C31)</f>
        <v>1</v>
      </c>
      <c r="D32" s="38">
        <f>SUM(D22:D31)</f>
        <v>66357437.040000007</v>
      </c>
      <c r="E32" s="37">
        <f t="shared" si="9"/>
        <v>1</v>
      </c>
      <c r="F32" s="38">
        <f>SUM(F22:F31)</f>
        <v>4214798.0200000005</v>
      </c>
      <c r="G32" s="37">
        <f t="shared" si="9"/>
        <v>1</v>
      </c>
      <c r="H32" s="38">
        <f>SUM(H22:H31)</f>
        <v>24287166</v>
      </c>
      <c r="I32" s="37">
        <f>SUM(I22:I31)</f>
        <v>1</v>
      </c>
      <c r="J32" s="38">
        <f>SUM(J22:J31)</f>
        <v>172338972</v>
      </c>
      <c r="L32" s="53"/>
      <c r="M32" s="53"/>
      <c r="N32" s="53"/>
      <c r="O32" s="53"/>
    </row>
    <row r="33" spans="2:16" x14ac:dyDescent="0.25">
      <c r="B33" s="29"/>
      <c r="C33" s="29"/>
      <c r="D33" s="44">
        <f>'2025'!G12</f>
        <v>66357437</v>
      </c>
      <c r="E33" s="46"/>
      <c r="F33" s="45">
        <f>'2025'!G10</f>
        <v>4214798</v>
      </c>
      <c r="G33" s="46"/>
      <c r="H33" s="44">
        <f>'2025'!G11</f>
        <v>24287166</v>
      </c>
      <c r="I33" s="46"/>
      <c r="J33" s="44">
        <f>'2025'!G14</f>
        <v>172338972</v>
      </c>
      <c r="L33" s="53"/>
      <c r="M33" s="53"/>
      <c r="N33" s="53"/>
      <c r="O33" s="53"/>
    </row>
    <row r="34" spans="2:16" x14ac:dyDescent="0.25">
      <c r="D34" s="4"/>
      <c r="F34" s="5"/>
      <c r="H34" s="6"/>
    </row>
    <row r="35" spans="2:16" ht="25.5" customHeight="1" x14ac:dyDescent="0.25">
      <c r="B35" s="62" t="s">
        <v>1</v>
      </c>
      <c r="C35" s="62" t="s">
        <v>36</v>
      </c>
      <c r="D35" s="62"/>
      <c r="E35" s="62" t="s">
        <v>23</v>
      </c>
      <c r="F35" s="62"/>
      <c r="H35" s="7"/>
      <c r="J35" s="5"/>
    </row>
    <row r="36" spans="2:16" x14ac:dyDescent="0.25">
      <c r="B36" s="62"/>
      <c r="C36" s="32" t="s">
        <v>6</v>
      </c>
      <c r="D36" s="50" t="s">
        <v>7</v>
      </c>
      <c r="E36" s="32" t="s">
        <v>6</v>
      </c>
      <c r="F36" s="50" t="s">
        <v>7</v>
      </c>
      <c r="H36" s="7"/>
      <c r="J36" s="5"/>
    </row>
    <row r="37" spans="2:16" x14ac:dyDescent="0.25">
      <c r="B37" s="1" t="s">
        <v>8</v>
      </c>
      <c r="C37" s="36">
        <v>6.6211600000000001E-3</v>
      </c>
      <c r="D37" s="40">
        <f t="shared" ref="D37:D46" si="10">$D$48*C37</f>
        <v>29675.847106360001</v>
      </c>
      <c r="E37" s="41">
        <f t="shared" ref="E37:E46" si="11">F37/$F$48</f>
        <v>5.593533294340098E-2</v>
      </c>
      <c r="F37" s="35">
        <f>(D5+F5+H5+J5+D22+F22+H22+J22+D37)</f>
        <v>112355766.18046026</v>
      </c>
      <c r="G37" s="28">
        <f t="shared" ref="G37:G46" si="12">D5+F5+H5+J5+D22+F22+H22+J22+D37-F37</f>
        <v>0</v>
      </c>
      <c r="H37" s="51"/>
      <c r="J37" s="51"/>
      <c r="K37" s="59"/>
      <c r="L37" s="53"/>
      <c r="M37" s="67"/>
      <c r="N37" s="22"/>
      <c r="O37" s="53"/>
      <c r="P37" s="22"/>
    </row>
    <row r="38" spans="2:16" x14ac:dyDescent="0.25">
      <c r="B38" s="1" t="s">
        <v>9</v>
      </c>
      <c r="C38" s="36">
        <v>0.23433903</v>
      </c>
      <c r="D38" s="40">
        <f t="shared" si="10"/>
        <v>1050300.7366281301</v>
      </c>
      <c r="E38" s="41">
        <f t="shared" si="11"/>
        <v>0.18109923017116397</v>
      </c>
      <c r="F38" s="35">
        <f t="shared" ref="F38:F44" si="13">(D6+F6+H6+J6+D23+F23+H23+J23+D38)</f>
        <v>363769047.03797197</v>
      </c>
      <c r="G38" s="28">
        <f t="shared" si="12"/>
        <v>0</v>
      </c>
      <c r="H38" s="51"/>
      <c r="J38" s="51"/>
      <c r="K38" s="59"/>
      <c r="L38" s="53"/>
      <c r="M38" s="67"/>
      <c r="N38" s="22"/>
      <c r="O38" s="53"/>
      <c r="P38" s="22"/>
    </row>
    <row r="39" spans="2:16" x14ac:dyDescent="0.25">
      <c r="B39" s="56" t="s">
        <v>10</v>
      </c>
      <c r="C39" s="36">
        <v>2.1769179999999999E-2</v>
      </c>
      <c r="D39" s="40">
        <f>$D$48*C39</f>
        <v>97568.833453779996</v>
      </c>
      <c r="E39" s="41">
        <f t="shared" si="11"/>
        <v>5.1015460446894881E-2</v>
      </c>
      <c r="F39" s="40">
        <f>(D7+F7+H7+J7+D24+F24+H24+J24+D39)-0.95</f>
        <v>102473353.49482466</v>
      </c>
      <c r="G39" s="28">
        <f t="shared" si="12"/>
        <v>0.95000000298023224</v>
      </c>
      <c r="H39" s="51"/>
      <c r="J39" s="51"/>
      <c r="K39" s="59"/>
      <c r="L39" s="53"/>
      <c r="M39" s="67"/>
      <c r="N39" s="22"/>
      <c r="O39" s="53"/>
      <c r="P39" s="22"/>
    </row>
    <row r="40" spans="2:16" x14ac:dyDescent="0.25">
      <c r="B40" s="56" t="s">
        <v>11</v>
      </c>
      <c r="C40" s="36">
        <v>1.269692E-2</v>
      </c>
      <c r="D40" s="40">
        <f t="shared" si="10"/>
        <v>56907.22722932</v>
      </c>
      <c r="E40" s="41">
        <f t="shared" si="11"/>
        <v>4.809683513801636E-2</v>
      </c>
      <c r="F40" s="40">
        <f>(D8+F8+H8+J8+D25+F25+H25+J25+D40)</f>
        <v>96610791.040703863</v>
      </c>
      <c r="G40" s="28">
        <f t="shared" si="12"/>
        <v>0</v>
      </c>
      <c r="H40" s="51"/>
      <c r="J40" s="51"/>
      <c r="K40" s="59"/>
      <c r="L40" s="53"/>
      <c r="M40" s="67"/>
      <c r="N40" s="22"/>
      <c r="O40" s="53"/>
      <c r="P40" s="22"/>
    </row>
    <row r="41" spans="2:16" x14ac:dyDescent="0.25">
      <c r="B41" s="1" t="s">
        <v>12</v>
      </c>
      <c r="C41" s="36">
        <v>9.6232129999999999E-2</v>
      </c>
      <c r="D41" s="40">
        <f t="shared" si="10"/>
        <v>431309.61592822999</v>
      </c>
      <c r="E41" s="41">
        <f t="shared" si="11"/>
        <v>5.9564049428391205E-2</v>
      </c>
      <c r="F41" s="40">
        <f>(D9+F9+H9+J9+D26+F26+H26+J26+D41)</f>
        <v>119644669.26673113</v>
      </c>
      <c r="G41" s="28">
        <f t="shared" si="12"/>
        <v>0</v>
      </c>
      <c r="H41" s="51"/>
      <c r="J41" s="51"/>
      <c r="K41" s="59"/>
      <c r="L41" s="53"/>
      <c r="M41" s="67"/>
      <c r="N41" s="22"/>
      <c r="O41" s="53"/>
      <c r="P41" s="22"/>
    </row>
    <row r="42" spans="2:16" x14ac:dyDescent="0.25">
      <c r="B42" s="56" t="s">
        <v>13</v>
      </c>
      <c r="C42" s="36">
        <v>6.6653000000000003E-4</v>
      </c>
      <c r="D42" s="40">
        <f t="shared" si="10"/>
        <v>2987.36813063</v>
      </c>
      <c r="E42" s="41">
        <f t="shared" si="11"/>
        <v>6.5711285844229028E-2</v>
      </c>
      <c r="F42" s="40">
        <f t="shared" si="13"/>
        <v>131992454.12916784</v>
      </c>
      <c r="G42" s="28">
        <f t="shared" si="12"/>
        <v>0</v>
      </c>
      <c r="H42" s="51"/>
      <c r="J42" s="51"/>
      <c r="K42" s="59"/>
      <c r="L42" s="53"/>
      <c r="M42" s="67"/>
      <c r="N42" s="22"/>
      <c r="O42" s="53"/>
      <c r="P42" s="22"/>
    </row>
    <row r="43" spans="2:16" x14ac:dyDescent="0.25">
      <c r="B43" s="56" t="s">
        <v>14</v>
      </c>
      <c r="C43" s="36">
        <v>0.37199441999999999</v>
      </c>
      <c r="D43" s="40">
        <f t="shared" si="10"/>
        <v>1667268.20260182</v>
      </c>
      <c r="E43" s="41">
        <f t="shared" si="11"/>
        <v>0.22305986322674504</v>
      </c>
      <c r="F43" s="40">
        <f>(D11+F11+H11+J11+D28+F28+H28+J28+D43)+0.6</f>
        <v>448054217.57852131</v>
      </c>
      <c r="G43" s="28">
        <f t="shared" si="12"/>
        <v>-0.60000002384185791</v>
      </c>
      <c r="H43" s="51"/>
      <c r="J43" s="51"/>
      <c r="K43" s="59"/>
      <c r="L43" s="53"/>
      <c r="M43" s="67"/>
      <c r="N43" s="22"/>
      <c r="O43" s="53"/>
      <c r="P43" s="22"/>
    </row>
    <row r="44" spans="2:16" x14ac:dyDescent="0.25">
      <c r="B44" s="1" t="s">
        <v>15</v>
      </c>
      <c r="C44" s="36">
        <v>5.4933999999999998E-3</v>
      </c>
      <c r="D44" s="40">
        <f t="shared" si="10"/>
        <v>24621.2594914</v>
      </c>
      <c r="E44" s="41">
        <f t="shared" si="11"/>
        <v>5.2327374307521851E-2</v>
      </c>
      <c r="F44" s="40">
        <f t="shared" si="13"/>
        <v>105108558.81527317</v>
      </c>
      <c r="G44" s="28">
        <f t="shared" si="12"/>
        <v>0</v>
      </c>
      <c r="H44" s="51"/>
      <c r="J44" s="51"/>
      <c r="K44" s="59"/>
      <c r="L44" s="53"/>
      <c r="M44" s="67"/>
      <c r="N44" s="22"/>
      <c r="O44" s="53"/>
      <c r="P44" s="22"/>
    </row>
    <row r="45" spans="2:16" x14ac:dyDescent="0.25">
      <c r="B45" s="56" t="s">
        <v>16</v>
      </c>
      <c r="C45" s="36">
        <v>6.4244430000000005E-2</v>
      </c>
      <c r="D45" s="40">
        <f t="shared" si="10"/>
        <v>287941.67217153002</v>
      </c>
      <c r="E45" s="41">
        <f t="shared" si="11"/>
        <v>0.13004498222821237</v>
      </c>
      <c r="F45" s="40">
        <f>(D13+F13+H13+J13+D30+F30+H30+J30+D45)</f>
        <v>261217782.16569856</v>
      </c>
      <c r="G45" s="28">
        <f t="shared" si="12"/>
        <v>0</v>
      </c>
      <c r="H45" s="51"/>
      <c r="J45" s="51"/>
      <c r="K45" s="59"/>
      <c r="L45" s="53"/>
      <c r="M45" s="67"/>
      <c r="N45" s="22"/>
      <c r="O45" s="53"/>
      <c r="P45" s="22"/>
    </row>
    <row r="46" spans="2:16" x14ac:dyDescent="0.25">
      <c r="B46" s="56" t="s">
        <v>17</v>
      </c>
      <c r="C46" s="36">
        <v>0.18594279999999999</v>
      </c>
      <c r="D46" s="40">
        <f t="shared" si="10"/>
        <v>833390.23725879996</v>
      </c>
      <c r="E46" s="41">
        <f t="shared" si="11"/>
        <v>0.13314558650936648</v>
      </c>
      <c r="F46" s="40">
        <f>(D14+F14+H14+J14+D31+F31+H31+J31+D46)+0.72</f>
        <v>267445880.78064716</v>
      </c>
      <c r="G46" s="28">
        <f t="shared" si="12"/>
        <v>-0.7199999988079071</v>
      </c>
      <c r="H46" s="51"/>
      <c r="J46" s="51"/>
      <c r="K46" s="59"/>
      <c r="L46" s="53"/>
      <c r="M46" s="67"/>
      <c r="N46" s="22"/>
      <c r="O46" s="53"/>
      <c r="P46" s="22"/>
    </row>
    <row r="47" spans="2:16" x14ac:dyDescent="0.25">
      <c r="B47" s="33" t="s">
        <v>22</v>
      </c>
      <c r="C47" s="37">
        <f t="shared" ref="C47:E47" si="14">SUM(C37:C46)</f>
        <v>0.99999999999999989</v>
      </c>
      <c r="D47" s="38">
        <f>SUM(D37:D46)</f>
        <v>4481971</v>
      </c>
      <c r="E47" s="37">
        <f t="shared" si="14"/>
        <v>1.0000000002439422</v>
      </c>
      <c r="F47" s="38">
        <f>SUM(F37:F46)</f>
        <v>2008672520.4900002</v>
      </c>
      <c r="G47" s="20"/>
      <c r="H47" s="51"/>
      <c r="J47" s="51"/>
      <c r="K47" s="59"/>
      <c r="L47" s="53"/>
      <c r="M47" s="67"/>
      <c r="N47" s="22"/>
      <c r="O47" s="53"/>
      <c r="P47" s="22"/>
    </row>
    <row r="48" spans="2:16" x14ac:dyDescent="0.25">
      <c r="D48" s="57">
        <f>'2025'!G13</f>
        <v>4481971</v>
      </c>
      <c r="E48" s="46"/>
      <c r="F48" s="58">
        <f>'2025'!G15</f>
        <v>2008672520</v>
      </c>
      <c r="H48" s="51"/>
      <c r="J48" s="51"/>
      <c r="K48" s="59"/>
      <c r="L48" s="53"/>
      <c r="M48" s="67"/>
      <c r="N48" s="22"/>
      <c r="O48" s="53"/>
      <c r="P48" s="22"/>
    </row>
    <row r="49" spans="3:10" x14ac:dyDescent="0.25">
      <c r="C49" s="21"/>
      <c r="D49" s="9"/>
      <c r="F49" s="8">
        <f>F47-F48</f>
        <v>0.49000024795532227</v>
      </c>
      <c r="J49" s="5"/>
    </row>
    <row r="50" spans="3:10" x14ac:dyDescent="0.25">
      <c r="C50" s="21"/>
      <c r="D50" s="9"/>
      <c r="F50" s="5"/>
      <c r="H50" s="5"/>
      <c r="J50" s="5"/>
    </row>
    <row r="51" spans="3:10" x14ac:dyDescent="0.25">
      <c r="C51" s="21"/>
      <c r="D51" s="9"/>
      <c r="J51" s="5"/>
    </row>
    <row r="52" spans="3:10" x14ac:dyDescent="0.25">
      <c r="C52" s="21"/>
      <c r="D52" s="9"/>
      <c r="J52" s="5"/>
    </row>
    <row r="53" spans="3:10" x14ac:dyDescent="0.25">
      <c r="C53" s="21"/>
      <c r="J53" s="5"/>
    </row>
    <row r="54" spans="3:10" x14ac:dyDescent="0.25">
      <c r="C54" s="21"/>
      <c r="J54" s="5"/>
    </row>
    <row r="55" spans="3:10" x14ac:dyDescent="0.25">
      <c r="C55" s="21"/>
    </row>
    <row r="56" spans="3:10" x14ac:dyDescent="0.25">
      <c r="C56" s="21"/>
    </row>
    <row r="57" spans="3:10" x14ac:dyDescent="0.25">
      <c r="C57" s="21"/>
    </row>
    <row r="58" spans="3:10" x14ac:dyDescent="0.25">
      <c r="C58" s="21"/>
    </row>
    <row r="59" spans="3:10" x14ac:dyDescent="0.25">
      <c r="C59" s="21"/>
    </row>
  </sheetData>
  <mergeCells count="17">
    <mergeCell ref="B1:J1"/>
    <mergeCell ref="B2:J2"/>
    <mergeCell ref="B3:B4"/>
    <mergeCell ref="C3:D3"/>
    <mergeCell ref="E3:F3"/>
    <mergeCell ref="G3:H3"/>
    <mergeCell ref="I3:J3"/>
    <mergeCell ref="B35:B36"/>
    <mergeCell ref="C35:D35"/>
    <mergeCell ref="E35:F35"/>
    <mergeCell ref="B18:J18"/>
    <mergeCell ref="B19:J19"/>
    <mergeCell ref="B20:B21"/>
    <mergeCell ref="C20:D20"/>
    <mergeCell ref="E20:F20"/>
    <mergeCell ref="G20:H20"/>
    <mergeCell ref="I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MONTO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fpedroza</dc:creator>
  <cp:lastModifiedBy>Cony Bueno</cp:lastModifiedBy>
  <cp:revision>3</cp:revision>
  <cp:lastPrinted>2022-02-14T19:12:44Z</cp:lastPrinted>
  <dcterms:created xsi:type="dcterms:W3CDTF">2019-02-14T16:20:17Z</dcterms:created>
  <dcterms:modified xsi:type="dcterms:W3CDTF">2025-02-17T15:43:27Z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